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hidePivotFieldList="1" autoCompressPictures="0"/>
  <bookViews>
    <workbookView xWindow="3920" yWindow="10960" windowWidth="31500" windowHeight="14340"/>
  </bookViews>
  <sheets>
    <sheet name="XR10_手配運用情報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557" i="2" l="1"/>
  <c r="BN557" i="2"/>
  <c r="BM557" i="2"/>
  <c r="BL557" i="2"/>
  <c r="BK557" i="2"/>
  <c r="BJ557" i="2"/>
  <c r="BI557" i="2"/>
  <c r="BH557" i="2"/>
  <c r="BG557" i="2"/>
  <c r="BF557" i="2"/>
  <c r="BE557" i="2"/>
  <c r="BD557" i="2"/>
  <c r="BC557" i="2"/>
  <c r="BB557" i="2"/>
  <c r="BA557" i="2"/>
  <c r="AZ557" i="2"/>
  <c r="AY557" i="2"/>
  <c r="AX557" i="2"/>
  <c r="AW557" i="2"/>
  <c r="AV557" i="2"/>
  <c r="AT557" i="2"/>
  <c r="AS557" i="2"/>
  <c r="AR557" i="2"/>
  <c r="AQ557" i="2"/>
  <c r="AO557" i="2"/>
  <c r="AN557" i="2"/>
  <c r="AM557" i="2"/>
  <c r="AL557" i="2"/>
  <c r="AK557" i="2"/>
  <c r="AJ557" i="2"/>
  <c r="AI557" i="2"/>
  <c r="AH557" i="2"/>
  <c r="AG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C557" i="2"/>
  <c r="B557" i="2"/>
  <c r="BO556" i="2"/>
  <c r="BN556" i="2"/>
  <c r="BM556" i="2"/>
  <c r="BL556" i="2"/>
  <c r="BK556" i="2"/>
  <c r="BJ556" i="2"/>
  <c r="BI556" i="2"/>
  <c r="BH556" i="2"/>
  <c r="BG556" i="2"/>
  <c r="BF556" i="2"/>
  <c r="BE556" i="2"/>
  <c r="BD556" i="2"/>
  <c r="BC556" i="2"/>
  <c r="BB556" i="2"/>
  <c r="BA556" i="2"/>
  <c r="AZ556" i="2"/>
  <c r="AY556" i="2"/>
  <c r="AX556" i="2"/>
  <c r="AW556" i="2"/>
  <c r="AV556" i="2"/>
  <c r="AT556" i="2"/>
  <c r="AS556" i="2"/>
  <c r="AR556" i="2"/>
  <c r="AQ556" i="2"/>
  <c r="AO556" i="2"/>
  <c r="AN556" i="2"/>
  <c r="AM556" i="2"/>
  <c r="AL556" i="2"/>
  <c r="AK556" i="2"/>
  <c r="AJ556" i="2"/>
  <c r="AI556" i="2"/>
  <c r="AH556" i="2"/>
  <c r="AG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BO555" i="2"/>
  <c r="BN555" i="2"/>
  <c r="BM555" i="2"/>
  <c r="BL555" i="2"/>
  <c r="BK555" i="2"/>
  <c r="BJ555" i="2"/>
  <c r="BI555" i="2"/>
  <c r="BH555" i="2"/>
  <c r="BG555" i="2"/>
  <c r="BF555" i="2"/>
  <c r="BE555" i="2"/>
  <c r="BD555" i="2"/>
  <c r="BC555" i="2"/>
  <c r="BB555" i="2"/>
  <c r="BA555" i="2"/>
  <c r="AZ555" i="2"/>
  <c r="AY555" i="2"/>
  <c r="AX555" i="2"/>
  <c r="AW555" i="2"/>
  <c r="AV555" i="2"/>
  <c r="AT555" i="2"/>
  <c r="AS555" i="2"/>
  <c r="AR555" i="2"/>
  <c r="AQ555" i="2"/>
  <c r="AO555" i="2"/>
  <c r="AN555" i="2"/>
  <c r="AL555" i="2"/>
  <c r="AK555" i="2"/>
  <c r="AJ555" i="2"/>
  <c r="AI555" i="2"/>
  <c r="AH555" i="2"/>
  <c r="AG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BO554" i="2"/>
  <c r="BN554" i="2"/>
  <c r="BM554" i="2"/>
  <c r="BL554" i="2"/>
  <c r="BK554" i="2"/>
  <c r="BJ554" i="2"/>
  <c r="BI554" i="2"/>
  <c r="BH554" i="2"/>
  <c r="BG554" i="2"/>
  <c r="BF554" i="2"/>
  <c r="BE554" i="2"/>
  <c r="BD554" i="2"/>
  <c r="BC554" i="2"/>
  <c r="BB554" i="2"/>
  <c r="BA554" i="2"/>
  <c r="AZ554" i="2"/>
  <c r="AY554" i="2"/>
  <c r="AX554" i="2"/>
  <c r="AW554" i="2"/>
  <c r="AV554" i="2"/>
  <c r="AT554" i="2"/>
  <c r="AS554" i="2"/>
  <c r="AR554" i="2"/>
  <c r="AQ554" i="2"/>
  <c r="AO554" i="2"/>
  <c r="AN554" i="2"/>
  <c r="AM554" i="2"/>
  <c r="AL554" i="2"/>
  <c r="AK554" i="2"/>
  <c r="AJ554" i="2"/>
  <c r="AI554" i="2"/>
  <c r="AH554" i="2"/>
  <c r="AG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C554" i="2"/>
  <c r="B554" i="2"/>
  <c r="BO553" i="2"/>
  <c r="BN553" i="2"/>
  <c r="BM553" i="2"/>
  <c r="BL553" i="2"/>
  <c r="BK553" i="2"/>
  <c r="BJ553" i="2"/>
  <c r="BI553" i="2"/>
  <c r="BH553" i="2"/>
  <c r="BG553" i="2"/>
  <c r="BF553" i="2"/>
  <c r="BE553" i="2"/>
  <c r="BD553" i="2"/>
  <c r="BC553" i="2"/>
  <c r="BB553" i="2"/>
  <c r="BA553" i="2"/>
  <c r="AZ553" i="2"/>
  <c r="AY553" i="2"/>
  <c r="AX553" i="2"/>
  <c r="AW553" i="2"/>
  <c r="AV553" i="2"/>
  <c r="AT553" i="2"/>
  <c r="AS553" i="2"/>
  <c r="AR553" i="2"/>
  <c r="AQ553" i="2"/>
  <c r="AO553" i="2"/>
  <c r="AN553" i="2"/>
  <c r="AM553" i="2"/>
  <c r="AL553" i="2"/>
  <c r="AK553" i="2"/>
  <c r="AJ553" i="2"/>
  <c r="AI553" i="2"/>
  <c r="AH553" i="2"/>
  <c r="AG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C553" i="2"/>
  <c r="B553" i="2"/>
  <c r="BO552" i="2"/>
  <c r="BN552" i="2"/>
  <c r="BM552" i="2"/>
  <c r="BL552" i="2"/>
  <c r="BK552" i="2"/>
  <c r="BJ552" i="2"/>
  <c r="BI552" i="2"/>
  <c r="BH552" i="2"/>
  <c r="BG552" i="2"/>
  <c r="BF552" i="2"/>
  <c r="BE552" i="2"/>
  <c r="BD552" i="2"/>
  <c r="BC552" i="2"/>
  <c r="BB552" i="2"/>
  <c r="BA552" i="2"/>
  <c r="AZ552" i="2"/>
  <c r="AY552" i="2"/>
  <c r="AX552" i="2"/>
  <c r="AW552" i="2"/>
  <c r="AV552" i="2"/>
  <c r="AT552" i="2"/>
  <c r="AS552" i="2"/>
  <c r="AR552" i="2"/>
  <c r="AQ552" i="2"/>
  <c r="AO552" i="2"/>
  <c r="AN552" i="2"/>
  <c r="AL552" i="2"/>
  <c r="AK552" i="2"/>
  <c r="AJ552" i="2"/>
  <c r="AI552" i="2"/>
  <c r="AH552" i="2"/>
  <c r="AG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C552" i="2"/>
  <c r="B552" i="2"/>
  <c r="BO551" i="2"/>
  <c r="BN551" i="2"/>
  <c r="BM551" i="2"/>
  <c r="BL551" i="2"/>
  <c r="BK551" i="2"/>
  <c r="BJ551" i="2"/>
  <c r="BI551" i="2"/>
  <c r="BH551" i="2"/>
  <c r="BG551" i="2"/>
  <c r="BF551" i="2"/>
  <c r="BE551" i="2"/>
  <c r="BD551" i="2"/>
  <c r="BC551" i="2"/>
  <c r="BB551" i="2"/>
  <c r="BA551" i="2"/>
  <c r="AZ551" i="2"/>
  <c r="AY551" i="2"/>
  <c r="AX551" i="2"/>
  <c r="AW551" i="2"/>
  <c r="AV551" i="2"/>
  <c r="AT551" i="2"/>
  <c r="AS551" i="2"/>
  <c r="AR551" i="2"/>
  <c r="AQ551" i="2"/>
  <c r="AO551" i="2"/>
  <c r="AN551" i="2"/>
  <c r="AL551" i="2"/>
  <c r="AK551" i="2"/>
  <c r="AJ551" i="2"/>
  <c r="AI551" i="2"/>
  <c r="AH551" i="2"/>
  <c r="AG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C551" i="2"/>
  <c r="B551" i="2"/>
  <c r="BO550" i="2"/>
  <c r="BN550" i="2"/>
  <c r="BM550" i="2"/>
  <c r="BL550" i="2"/>
  <c r="BK550" i="2"/>
  <c r="BJ550" i="2"/>
  <c r="BI550" i="2"/>
  <c r="BH550" i="2"/>
  <c r="BG550" i="2"/>
  <c r="BF550" i="2"/>
  <c r="BE550" i="2"/>
  <c r="BD550" i="2"/>
  <c r="BC550" i="2"/>
  <c r="BB550" i="2"/>
  <c r="BA550" i="2"/>
  <c r="AZ550" i="2"/>
  <c r="AY550" i="2"/>
  <c r="AX550" i="2"/>
  <c r="AW550" i="2"/>
  <c r="AV550" i="2"/>
  <c r="AT550" i="2"/>
  <c r="AS550" i="2"/>
  <c r="AR550" i="2"/>
  <c r="AQ550" i="2"/>
  <c r="AO550" i="2"/>
  <c r="AN550" i="2"/>
  <c r="AM550" i="2"/>
  <c r="AL550" i="2"/>
  <c r="AK550" i="2"/>
  <c r="AJ550" i="2"/>
  <c r="AI550" i="2"/>
  <c r="AH550" i="2"/>
  <c r="AG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C550" i="2"/>
  <c r="B550" i="2"/>
  <c r="BO549" i="2"/>
  <c r="BN549" i="2"/>
  <c r="BM549" i="2"/>
  <c r="BL549" i="2"/>
  <c r="BK549" i="2"/>
  <c r="BJ549" i="2"/>
  <c r="BI549" i="2"/>
  <c r="BH549" i="2"/>
  <c r="BG549" i="2"/>
  <c r="BF549" i="2"/>
  <c r="BE549" i="2"/>
  <c r="BD549" i="2"/>
  <c r="BC549" i="2"/>
  <c r="BB549" i="2"/>
  <c r="BA549" i="2"/>
  <c r="AZ549" i="2"/>
  <c r="AY549" i="2"/>
  <c r="AX549" i="2"/>
  <c r="AW549" i="2"/>
  <c r="AV549" i="2"/>
  <c r="AT549" i="2"/>
  <c r="AS549" i="2"/>
  <c r="AR549" i="2"/>
  <c r="AQ549" i="2"/>
  <c r="AO549" i="2"/>
  <c r="AN549" i="2"/>
  <c r="AL549" i="2"/>
  <c r="AK549" i="2"/>
  <c r="AJ549" i="2"/>
  <c r="AI549" i="2"/>
  <c r="AH549" i="2"/>
  <c r="AG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C549" i="2"/>
  <c r="B549" i="2"/>
  <c r="BO548" i="2"/>
  <c r="BN548" i="2"/>
  <c r="BM548" i="2"/>
  <c r="BL548" i="2"/>
  <c r="BK548" i="2"/>
  <c r="BJ548" i="2"/>
  <c r="BI548" i="2"/>
  <c r="BH548" i="2"/>
  <c r="BG548" i="2"/>
  <c r="BF548" i="2"/>
  <c r="BE548" i="2"/>
  <c r="BD548" i="2"/>
  <c r="BC548" i="2"/>
  <c r="BB548" i="2"/>
  <c r="BA548" i="2"/>
  <c r="AZ548" i="2"/>
  <c r="AY548" i="2"/>
  <c r="AX548" i="2"/>
  <c r="AW548" i="2"/>
  <c r="AV548" i="2"/>
  <c r="AT548" i="2"/>
  <c r="AS548" i="2"/>
  <c r="AR548" i="2"/>
  <c r="AQ548" i="2"/>
  <c r="AO548" i="2"/>
  <c r="AN548" i="2"/>
  <c r="AM548" i="2"/>
  <c r="AL548" i="2"/>
  <c r="AK548" i="2"/>
  <c r="AJ548" i="2"/>
  <c r="AI548" i="2"/>
  <c r="AH548" i="2"/>
  <c r="AG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BO547" i="2"/>
  <c r="BN547" i="2"/>
  <c r="BM547" i="2"/>
  <c r="BL547" i="2"/>
  <c r="BK547" i="2"/>
  <c r="BJ547" i="2"/>
  <c r="BI547" i="2"/>
  <c r="BH547" i="2"/>
  <c r="BG547" i="2"/>
  <c r="BF547" i="2"/>
  <c r="BE547" i="2"/>
  <c r="BD547" i="2"/>
  <c r="BC547" i="2"/>
  <c r="BB547" i="2"/>
  <c r="BA547" i="2"/>
  <c r="AZ547" i="2"/>
  <c r="AY547" i="2"/>
  <c r="AX547" i="2"/>
  <c r="AW547" i="2"/>
  <c r="AV547" i="2"/>
  <c r="AT547" i="2"/>
  <c r="AS547" i="2"/>
  <c r="AR547" i="2"/>
  <c r="AQ547" i="2"/>
  <c r="AO547" i="2"/>
  <c r="AN547" i="2"/>
  <c r="AM547" i="2"/>
  <c r="AL547" i="2"/>
  <c r="AK547" i="2"/>
  <c r="AJ547" i="2"/>
  <c r="AI547" i="2"/>
  <c r="AH547" i="2"/>
  <c r="AG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BO546" i="2"/>
  <c r="BN546" i="2"/>
  <c r="BM546" i="2"/>
  <c r="BL546" i="2"/>
  <c r="BK546" i="2"/>
  <c r="BJ546" i="2"/>
  <c r="BI546" i="2"/>
  <c r="BH546" i="2"/>
  <c r="BG546" i="2"/>
  <c r="BF546" i="2"/>
  <c r="BE546" i="2"/>
  <c r="BD546" i="2"/>
  <c r="BC546" i="2"/>
  <c r="BB546" i="2"/>
  <c r="BA546" i="2"/>
  <c r="AZ546" i="2"/>
  <c r="AY546" i="2"/>
  <c r="AX546" i="2"/>
  <c r="AW546" i="2"/>
  <c r="AV546" i="2"/>
  <c r="AT546" i="2"/>
  <c r="AS546" i="2"/>
  <c r="AR546" i="2"/>
  <c r="AQ546" i="2"/>
  <c r="AO546" i="2"/>
  <c r="AN546" i="2"/>
  <c r="AM546" i="2"/>
  <c r="AL546" i="2"/>
  <c r="AK546" i="2"/>
  <c r="AJ546" i="2"/>
  <c r="AI546" i="2"/>
  <c r="AH546" i="2"/>
  <c r="AG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C546" i="2"/>
  <c r="B546" i="2"/>
  <c r="BO545" i="2"/>
  <c r="BN545" i="2"/>
  <c r="BM545" i="2"/>
  <c r="BL545" i="2"/>
  <c r="BK545" i="2"/>
  <c r="BJ545" i="2"/>
  <c r="BI545" i="2"/>
  <c r="BH545" i="2"/>
  <c r="BG545" i="2"/>
  <c r="BF545" i="2"/>
  <c r="BE545" i="2"/>
  <c r="BD545" i="2"/>
  <c r="BC545" i="2"/>
  <c r="BB545" i="2"/>
  <c r="BA545" i="2"/>
  <c r="AZ545" i="2"/>
  <c r="AY545" i="2"/>
  <c r="AX545" i="2"/>
  <c r="AW545" i="2"/>
  <c r="AV545" i="2"/>
  <c r="AT545" i="2"/>
  <c r="AS545" i="2"/>
  <c r="AR545" i="2"/>
  <c r="AQ545" i="2"/>
  <c r="AO545" i="2"/>
  <c r="AN545" i="2"/>
  <c r="AL545" i="2"/>
  <c r="AK545" i="2"/>
  <c r="AJ545" i="2"/>
  <c r="AI545" i="2"/>
  <c r="AH545" i="2"/>
  <c r="AG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C545" i="2"/>
  <c r="B545" i="2"/>
  <c r="BO544" i="2"/>
  <c r="BN544" i="2"/>
  <c r="BM544" i="2"/>
  <c r="BL544" i="2"/>
  <c r="BK544" i="2"/>
  <c r="BJ544" i="2"/>
  <c r="BI544" i="2"/>
  <c r="BH544" i="2"/>
  <c r="BG544" i="2"/>
  <c r="BF544" i="2"/>
  <c r="BE544" i="2"/>
  <c r="BD544" i="2"/>
  <c r="BC544" i="2"/>
  <c r="BB544" i="2"/>
  <c r="BA544" i="2"/>
  <c r="AZ544" i="2"/>
  <c r="AY544" i="2"/>
  <c r="AX544" i="2"/>
  <c r="AW544" i="2"/>
  <c r="AV544" i="2"/>
  <c r="AT544" i="2"/>
  <c r="AS544" i="2"/>
  <c r="AR544" i="2"/>
  <c r="AQ544" i="2"/>
  <c r="AO544" i="2"/>
  <c r="AN544" i="2"/>
  <c r="AL544" i="2"/>
  <c r="AK544" i="2"/>
  <c r="AJ544" i="2"/>
  <c r="AI544" i="2"/>
  <c r="AH544" i="2"/>
  <c r="AG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C544" i="2"/>
  <c r="B544" i="2"/>
  <c r="BO543" i="2"/>
  <c r="BN543" i="2"/>
  <c r="BM543" i="2"/>
  <c r="BL543" i="2"/>
  <c r="BK543" i="2"/>
  <c r="BJ543" i="2"/>
  <c r="BI543" i="2"/>
  <c r="BH543" i="2"/>
  <c r="BG543" i="2"/>
  <c r="BF543" i="2"/>
  <c r="BE543" i="2"/>
  <c r="BD543" i="2"/>
  <c r="BC543" i="2"/>
  <c r="BB543" i="2"/>
  <c r="BA543" i="2"/>
  <c r="AZ543" i="2"/>
  <c r="AY543" i="2"/>
  <c r="AX543" i="2"/>
  <c r="AW543" i="2"/>
  <c r="AV543" i="2"/>
  <c r="AT543" i="2"/>
  <c r="AS543" i="2"/>
  <c r="AR543" i="2"/>
  <c r="AQ543" i="2"/>
  <c r="AO543" i="2"/>
  <c r="AN543" i="2"/>
  <c r="AL543" i="2"/>
  <c r="AK543" i="2"/>
  <c r="AJ543" i="2"/>
  <c r="AI543" i="2"/>
  <c r="AH543" i="2"/>
  <c r="AG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C543" i="2"/>
  <c r="B543" i="2"/>
  <c r="BO542" i="2"/>
  <c r="BN542" i="2"/>
  <c r="BM542" i="2"/>
  <c r="BL542" i="2"/>
  <c r="BK542" i="2"/>
  <c r="BJ542" i="2"/>
  <c r="BI542" i="2"/>
  <c r="BH542" i="2"/>
  <c r="BG542" i="2"/>
  <c r="BF542" i="2"/>
  <c r="BE542" i="2"/>
  <c r="BD542" i="2"/>
  <c r="BC542" i="2"/>
  <c r="BB542" i="2"/>
  <c r="BA542" i="2"/>
  <c r="AZ542" i="2"/>
  <c r="AY542" i="2"/>
  <c r="AX542" i="2"/>
  <c r="AW542" i="2"/>
  <c r="AV542" i="2"/>
  <c r="AT542" i="2"/>
  <c r="AS542" i="2"/>
  <c r="AR542" i="2"/>
  <c r="AQ542" i="2"/>
  <c r="AO542" i="2"/>
  <c r="AN542" i="2"/>
  <c r="AL542" i="2"/>
  <c r="AK542" i="2"/>
  <c r="AJ542" i="2"/>
  <c r="AI542" i="2"/>
  <c r="AH542" i="2"/>
  <c r="AG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C542" i="2"/>
  <c r="B542" i="2"/>
  <c r="BO541" i="2"/>
  <c r="BN541" i="2"/>
  <c r="BM541" i="2"/>
  <c r="BL541" i="2"/>
  <c r="BK541" i="2"/>
  <c r="BJ541" i="2"/>
  <c r="BI541" i="2"/>
  <c r="BH541" i="2"/>
  <c r="BG541" i="2"/>
  <c r="BF541" i="2"/>
  <c r="BE541" i="2"/>
  <c r="BD541" i="2"/>
  <c r="BC541" i="2"/>
  <c r="BB541" i="2"/>
  <c r="BA541" i="2"/>
  <c r="AZ541" i="2"/>
  <c r="AY541" i="2"/>
  <c r="AX541" i="2"/>
  <c r="AW541" i="2"/>
  <c r="AV541" i="2"/>
  <c r="AT541" i="2"/>
  <c r="AS541" i="2"/>
  <c r="AR541" i="2"/>
  <c r="AQ541" i="2"/>
  <c r="AO541" i="2"/>
  <c r="AN541" i="2"/>
  <c r="AL541" i="2"/>
  <c r="AK541" i="2"/>
  <c r="AJ541" i="2"/>
  <c r="AI541" i="2"/>
  <c r="AH541" i="2"/>
  <c r="AG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C541" i="2"/>
  <c r="B541" i="2"/>
  <c r="BO540" i="2"/>
  <c r="BN540" i="2"/>
  <c r="BM540" i="2"/>
  <c r="BL540" i="2"/>
  <c r="BK540" i="2"/>
  <c r="BJ540" i="2"/>
  <c r="BI540" i="2"/>
  <c r="BH540" i="2"/>
  <c r="BG540" i="2"/>
  <c r="BF540" i="2"/>
  <c r="BE540" i="2"/>
  <c r="BD540" i="2"/>
  <c r="BC540" i="2"/>
  <c r="BB540" i="2"/>
  <c r="BA540" i="2"/>
  <c r="AZ540" i="2"/>
  <c r="AY540" i="2"/>
  <c r="AX540" i="2"/>
  <c r="AW540" i="2"/>
  <c r="AV540" i="2"/>
  <c r="AT540" i="2"/>
  <c r="AS540" i="2"/>
  <c r="AR540" i="2"/>
  <c r="AQ540" i="2"/>
  <c r="AO540" i="2"/>
  <c r="AN540" i="2"/>
  <c r="AM540" i="2"/>
  <c r="AL540" i="2"/>
  <c r="AK540" i="2"/>
  <c r="AJ540" i="2"/>
  <c r="AI540" i="2"/>
  <c r="AH540" i="2"/>
  <c r="AG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C540" i="2"/>
  <c r="B540" i="2"/>
  <c r="BO539" i="2"/>
  <c r="BN539" i="2"/>
  <c r="BM539" i="2"/>
  <c r="BL539" i="2"/>
  <c r="BK539" i="2"/>
  <c r="BJ539" i="2"/>
  <c r="BI539" i="2"/>
  <c r="BH539" i="2"/>
  <c r="BG539" i="2"/>
  <c r="BF539" i="2"/>
  <c r="BE539" i="2"/>
  <c r="BD539" i="2"/>
  <c r="BC539" i="2"/>
  <c r="BB539" i="2"/>
  <c r="BA539" i="2"/>
  <c r="AZ539" i="2"/>
  <c r="AY539" i="2"/>
  <c r="AX539" i="2"/>
  <c r="AW539" i="2"/>
  <c r="AV539" i="2"/>
  <c r="AT539" i="2"/>
  <c r="AS539" i="2"/>
  <c r="AR539" i="2"/>
  <c r="AQ539" i="2"/>
  <c r="AO539" i="2"/>
  <c r="AN539" i="2"/>
  <c r="AM539" i="2"/>
  <c r="AL539" i="2"/>
  <c r="AK539" i="2"/>
  <c r="AJ539" i="2"/>
  <c r="AI539" i="2"/>
  <c r="AH539" i="2"/>
  <c r="AG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C539" i="2"/>
  <c r="B539" i="2"/>
  <c r="BO538" i="2"/>
  <c r="BN538" i="2"/>
  <c r="BM538" i="2"/>
  <c r="BL538" i="2"/>
  <c r="BK538" i="2"/>
  <c r="BJ538" i="2"/>
  <c r="BI538" i="2"/>
  <c r="BH538" i="2"/>
  <c r="BG538" i="2"/>
  <c r="BF538" i="2"/>
  <c r="BE538" i="2"/>
  <c r="BD538" i="2"/>
  <c r="BC538" i="2"/>
  <c r="BB538" i="2"/>
  <c r="BA538" i="2"/>
  <c r="AZ538" i="2"/>
  <c r="AY538" i="2"/>
  <c r="AX538" i="2"/>
  <c r="AW538" i="2"/>
  <c r="AV538" i="2"/>
  <c r="AT538" i="2"/>
  <c r="AS538" i="2"/>
  <c r="AR538" i="2"/>
  <c r="AQ538" i="2"/>
  <c r="AO538" i="2"/>
  <c r="AN538" i="2"/>
  <c r="AM538" i="2"/>
  <c r="AL538" i="2"/>
  <c r="AK538" i="2"/>
  <c r="AJ538" i="2"/>
  <c r="AI538" i="2"/>
  <c r="AH538" i="2"/>
  <c r="AG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C538" i="2"/>
  <c r="B538" i="2"/>
  <c r="BO537" i="2"/>
  <c r="BN537" i="2"/>
  <c r="BM537" i="2"/>
  <c r="BL537" i="2"/>
  <c r="BK537" i="2"/>
  <c r="BJ537" i="2"/>
  <c r="BI537" i="2"/>
  <c r="BH537" i="2"/>
  <c r="BG537" i="2"/>
  <c r="BF537" i="2"/>
  <c r="BE537" i="2"/>
  <c r="BD537" i="2"/>
  <c r="BC537" i="2"/>
  <c r="BB537" i="2"/>
  <c r="BA537" i="2"/>
  <c r="AZ537" i="2"/>
  <c r="AY537" i="2"/>
  <c r="AX537" i="2"/>
  <c r="AW537" i="2"/>
  <c r="AV537" i="2"/>
  <c r="AT537" i="2"/>
  <c r="AS537" i="2"/>
  <c r="AR537" i="2"/>
  <c r="AQ537" i="2"/>
  <c r="AO537" i="2"/>
  <c r="AN537" i="2"/>
  <c r="AM537" i="2"/>
  <c r="AL537" i="2"/>
  <c r="AK537" i="2"/>
  <c r="AJ537" i="2"/>
  <c r="AI537" i="2"/>
  <c r="AH537" i="2"/>
  <c r="AG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C537" i="2"/>
  <c r="B537" i="2"/>
  <c r="BO536" i="2"/>
  <c r="BN536" i="2"/>
  <c r="BM536" i="2"/>
  <c r="BL536" i="2"/>
  <c r="BK536" i="2"/>
  <c r="BJ536" i="2"/>
  <c r="BI536" i="2"/>
  <c r="BH536" i="2"/>
  <c r="BG536" i="2"/>
  <c r="BF536" i="2"/>
  <c r="BE536" i="2"/>
  <c r="BD536" i="2"/>
  <c r="BC536" i="2"/>
  <c r="BB536" i="2"/>
  <c r="BA536" i="2"/>
  <c r="AZ536" i="2"/>
  <c r="AY536" i="2"/>
  <c r="AX536" i="2"/>
  <c r="AW536" i="2"/>
  <c r="AV536" i="2"/>
  <c r="AT536" i="2"/>
  <c r="AS536" i="2"/>
  <c r="AR536" i="2"/>
  <c r="AQ536" i="2"/>
  <c r="AO536" i="2"/>
  <c r="AN536" i="2"/>
  <c r="AM536" i="2"/>
  <c r="AL536" i="2"/>
  <c r="AK536" i="2"/>
  <c r="AJ536" i="2"/>
  <c r="AI536" i="2"/>
  <c r="AH536" i="2"/>
  <c r="AG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C536" i="2"/>
  <c r="B536" i="2"/>
  <c r="BO535" i="2"/>
  <c r="BN535" i="2"/>
  <c r="BM535" i="2"/>
  <c r="BL535" i="2"/>
  <c r="BK535" i="2"/>
  <c r="BJ535" i="2"/>
  <c r="BI535" i="2"/>
  <c r="BH535" i="2"/>
  <c r="BG535" i="2"/>
  <c r="BF535" i="2"/>
  <c r="BE535" i="2"/>
  <c r="BD535" i="2"/>
  <c r="BC535" i="2"/>
  <c r="BB535" i="2"/>
  <c r="BA535" i="2"/>
  <c r="AZ535" i="2"/>
  <c r="AY535" i="2"/>
  <c r="AX535" i="2"/>
  <c r="AW535" i="2"/>
  <c r="AV535" i="2"/>
  <c r="AT535" i="2"/>
  <c r="AS535" i="2"/>
  <c r="AR535" i="2"/>
  <c r="AQ535" i="2"/>
  <c r="AO535" i="2"/>
  <c r="AN535" i="2"/>
  <c r="AM535" i="2"/>
  <c r="AL535" i="2"/>
  <c r="AK535" i="2"/>
  <c r="AJ535" i="2"/>
  <c r="AI535" i="2"/>
  <c r="AH535" i="2"/>
  <c r="AG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C535" i="2"/>
  <c r="B535" i="2"/>
  <c r="BO534" i="2"/>
  <c r="BN534" i="2"/>
  <c r="BM534" i="2"/>
  <c r="BL534" i="2"/>
  <c r="BK534" i="2"/>
  <c r="BJ534" i="2"/>
  <c r="BI534" i="2"/>
  <c r="BH534" i="2"/>
  <c r="BG534" i="2"/>
  <c r="BF534" i="2"/>
  <c r="BE534" i="2"/>
  <c r="BD534" i="2"/>
  <c r="BC534" i="2"/>
  <c r="BB534" i="2"/>
  <c r="BA534" i="2"/>
  <c r="AZ534" i="2"/>
  <c r="AY534" i="2"/>
  <c r="AX534" i="2"/>
  <c r="AW534" i="2"/>
  <c r="AV534" i="2"/>
  <c r="AT534" i="2"/>
  <c r="AS534" i="2"/>
  <c r="AR534" i="2"/>
  <c r="AQ534" i="2"/>
  <c r="AO534" i="2"/>
  <c r="AN534" i="2"/>
  <c r="AM534" i="2"/>
  <c r="AL534" i="2"/>
  <c r="AK534" i="2"/>
  <c r="AJ534" i="2"/>
  <c r="AI534" i="2"/>
  <c r="AH534" i="2"/>
  <c r="AG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C534" i="2"/>
  <c r="B534" i="2"/>
  <c r="BO533" i="2"/>
  <c r="BN533" i="2"/>
  <c r="BM533" i="2"/>
  <c r="BL533" i="2"/>
  <c r="BK533" i="2"/>
  <c r="BJ533" i="2"/>
  <c r="BI533" i="2"/>
  <c r="BH533" i="2"/>
  <c r="BG533" i="2"/>
  <c r="BF533" i="2"/>
  <c r="BE533" i="2"/>
  <c r="BD533" i="2"/>
  <c r="BC533" i="2"/>
  <c r="BB533" i="2"/>
  <c r="BA533" i="2"/>
  <c r="AZ533" i="2"/>
  <c r="AY533" i="2"/>
  <c r="AX533" i="2"/>
  <c r="AW533" i="2"/>
  <c r="AV533" i="2"/>
  <c r="AT533" i="2"/>
  <c r="AS533" i="2"/>
  <c r="AR533" i="2"/>
  <c r="AQ533" i="2"/>
  <c r="AO533" i="2"/>
  <c r="AN533" i="2"/>
  <c r="AM533" i="2"/>
  <c r="AL533" i="2"/>
  <c r="AK533" i="2"/>
  <c r="AJ533" i="2"/>
  <c r="AI533" i="2"/>
  <c r="AH533" i="2"/>
  <c r="AG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C533" i="2"/>
  <c r="B533" i="2"/>
  <c r="BO532" i="2"/>
  <c r="BN532" i="2"/>
  <c r="BM532" i="2"/>
  <c r="BL532" i="2"/>
  <c r="BK532" i="2"/>
  <c r="BJ532" i="2"/>
  <c r="BI532" i="2"/>
  <c r="BH532" i="2"/>
  <c r="BG532" i="2"/>
  <c r="BF532" i="2"/>
  <c r="BE532" i="2"/>
  <c r="BD532" i="2"/>
  <c r="BC532" i="2"/>
  <c r="BB532" i="2"/>
  <c r="BA532" i="2"/>
  <c r="AZ532" i="2"/>
  <c r="AY532" i="2"/>
  <c r="AX532" i="2"/>
  <c r="AW532" i="2"/>
  <c r="AV532" i="2"/>
  <c r="AT532" i="2"/>
  <c r="AS532" i="2"/>
  <c r="AR532" i="2"/>
  <c r="AQ532" i="2"/>
  <c r="AO532" i="2"/>
  <c r="AN532" i="2"/>
  <c r="AM532" i="2"/>
  <c r="AL532" i="2"/>
  <c r="AK532" i="2"/>
  <c r="AJ532" i="2"/>
  <c r="AI532" i="2"/>
  <c r="AH532" i="2"/>
  <c r="AG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C532" i="2"/>
  <c r="B532" i="2"/>
  <c r="BO531" i="2"/>
  <c r="BN531" i="2"/>
  <c r="BM531" i="2"/>
  <c r="BL531" i="2"/>
  <c r="BK531" i="2"/>
  <c r="BJ531" i="2"/>
  <c r="BI531" i="2"/>
  <c r="BH531" i="2"/>
  <c r="BG531" i="2"/>
  <c r="BF531" i="2"/>
  <c r="BE531" i="2"/>
  <c r="BD531" i="2"/>
  <c r="BC531" i="2"/>
  <c r="BB531" i="2"/>
  <c r="BA531" i="2"/>
  <c r="AZ531" i="2"/>
  <c r="AY531" i="2"/>
  <c r="AX531" i="2"/>
  <c r="AW531" i="2"/>
  <c r="AV531" i="2"/>
  <c r="AT531" i="2"/>
  <c r="AS531" i="2"/>
  <c r="AR531" i="2"/>
  <c r="AQ531" i="2"/>
  <c r="AO531" i="2"/>
  <c r="AN531" i="2"/>
  <c r="AM531" i="2"/>
  <c r="AL531" i="2"/>
  <c r="AK531" i="2"/>
  <c r="AJ531" i="2"/>
  <c r="AI531" i="2"/>
  <c r="AH531" i="2"/>
  <c r="AG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C531" i="2"/>
  <c r="B531" i="2"/>
  <c r="BO530" i="2"/>
  <c r="BN530" i="2"/>
  <c r="BM530" i="2"/>
  <c r="BL530" i="2"/>
  <c r="BK530" i="2"/>
  <c r="BJ530" i="2"/>
  <c r="BI530" i="2"/>
  <c r="BH530" i="2"/>
  <c r="BG530" i="2"/>
  <c r="BF530" i="2"/>
  <c r="BE530" i="2"/>
  <c r="BD530" i="2"/>
  <c r="BC530" i="2"/>
  <c r="BB530" i="2"/>
  <c r="BA530" i="2"/>
  <c r="AZ530" i="2"/>
  <c r="AY530" i="2"/>
  <c r="AX530" i="2"/>
  <c r="AW530" i="2"/>
  <c r="AV530" i="2"/>
  <c r="AT530" i="2"/>
  <c r="AS530" i="2"/>
  <c r="AR530" i="2"/>
  <c r="AQ530" i="2"/>
  <c r="AO530" i="2"/>
  <c r="AN530" i="2"/>
  <c r="AL530" i="2"/>
  <c r="AK530" i="2"/>
  <c r="AJ530" i="2"/>
  <c r="AI530" i="2"/>
  <c r="AH530" i="2"/>
  <c r="AG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C530" i="2"/>
  <c r="B530" i="2"/>
  <c r="BO529" i="2"/>
  <c r="BN529" i="2"/>
  <c r="BM529" i="2"/>
  <c r="BL529" i="2"/>
  <c r="BK529" i="2"/>
  <c r="BJ529" i="2"/>
  <c r="BI529" i="2"/>
  <c r="BH529" i="2"/>
  <c r="BG529" i="2"/>
  <c r="BF529" i="2"/>
  <c r="BE529" i="2"/>
  <c r="BD529" i="2"/>
  <c r="BC529" i="2"/>
  <c r="BB529" i="2"/>
  <c r="BA529" i="2"/>
  <c r="AZ529" i="2"/>
  <c r="AY529" i="2"/>
  <c r="AX529" i="2"/>
  <c r="AW529" i="2"/>
  <c r="AV529" i="2"/>
  <c r="AT529" i="2"/>
  <c r="AS529" i="2"/>
  <c r="AR529" i="2"/>
  <c r="AQ529" i="2"/>
  <c r="AO529" i="2"/>
  <c r="AN529" i="2"/>
  <c r="AL529" i="2"/>
  <c r="AK529" i="2"/>
  <c r="AJ529" i="2"/>
  <c r="AI529" i="2"/>
  <c r="AH529" i="2"/>
  <c r="AG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C529" i="2"/>
  <c r="B529" i="2"/>
  <c r="BO528" i="2"/>
  <c r="BN528" i="2"/>
  <c r="BM528" i="2"/>
  <c r="BL528" i="2"/>
  <c r="BK528" i="2"/>
  <c r="BJ528" i="2"/>
  <c r="BI528" i="2"/>
  <c r="BH528" i="2"/>
  <c r="BG528" i="2"/>
  <c r="BF528" i="2"/>
  <c r="BE528" i="2"/>
  <c r="BD528" i="2"/>
  <c r="BC528" i="2"/>
  <c r="BB528" i="2"/>
  <c r="BA528" i="2"/>
  <c r="AZ528" i="2"/>
  <c r="AY528" i="2"/>
  <c r="AX528" i="2"/>
  <c r="AW528" i="2"/>
  <c r="AV528" i="2"/>
  <c r="AT528" i="2"/>
  <c r="AS528" i="2"/>
  <c r="AR528" i="2"/>
  <c r="AQ528" i="2"/>
  <c r="AO528" i="2"/>
  <c r="AN528" i="2"/>
  <c r="AL528" i="2"/>
  <c r="AK528" i="2"/>
  <c r="AJ528" i="2"/>
  <c r="AI528" i="2"/>
  <c r="AH528" i="2"/>
  <c r="AG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C528" i="2"/>
  <c r="B528" i="2"/>
  <c r="BO527" i="2"/>
  <c r="BN527" i="2"/>
  <c r="BM527" i="2"/>
  <c r="BL527" i="2"/>
  <c r="BK527" i="2"/>
  <c r="BJ527" i="2"/>
  <c r="BI527" i="2"/>
  <c r="BH527" i="2"/>
  <c r="BG527" i="2"/>
  <c r="BF527" i="2"/>
  <c r="BE527" i="2"/>
  <c r="BD527" i="2"/>
  <c r="BC527" i="2"/>
  <c r="BB527" i="2"/>
  <c r="BA527" i="2"/>
  <c r="AZ527" i="2"/>
  <c r="AY527" i="2"/>
  <c r="AX527" i="2"/>
  <c r="AW527" i="2"/>
  <c r="AV527" i="2"/>
  <c r="AT527" i="2"/>
  <c r="AS527" i="2"/>
  <c r="AR527" i="2"/>
  <c r="AQ527" i="2"/>
  <c r="AO527" i="2"/>
  <c r="AN527" i="2"/>
  <c r="AL527" i="2"/>
  <c r="AK527" i="2"/>
  <c r="AJ527" i="2"/>
  <c r="AI527" i="2"/>
  <c r="AH527" i="2"/>
  <c r="AG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C527" i="2"/>
  <c r="B527" i="2"/>
  <c r="BO526" i="2"/>
  <c r="BN526" i="2"/>
  <c r="BM526" i="2"/>
  <c r="BL526" i="2"/>
  <c r="BK526" i="2"/>
  <c r="BJ526" i="2"/>
  <c r="BI526" i="2"/>
  <c r="BH526" i="2"/>
  <c r="BG526" i="2"/>
  <c r="BF526" i="2"/>
  <c r="BE526" i="2"/>
  <c r="BD526" i="2"/>
  <c r="BC526" i="2"/>
  <c r="BB526" i="2"/>
  <c r="BA526" i="2"/>
  <c r="AZ526" i="2"/>
  <c r="AY526" i="2"/>
  <c r="AX526" i="2"/>
  <c r="AW526" i="2"/>
  <c r="AV526" i="2"/>
  <c r="AT526" i="2"/>
  <c r="AS526" i="2"/>
  <c r="AR526" i="2"/>
  <c r="AQ526" i="2"/>
  <c r="AO526" i="2"/>
  <c r="AN526" i="2"/>
  <c r="AL526" i="2"/>
  <c r="AK526" i="2"/>
  <c r="AJ526" i="2"/>
  <c r="AI526" i="2"/>
  <c r="AH526" i="2"/>
  <c r="AG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C526" i="2"/>
  <c r="B526" i="2"/>
  <c r="BO525" i="2"/>
  <c r="BN525" i="2"/>
  <c r="BM525" i="2"/>
  <c r="BL525" i="2"/>
  <c r="BK525" i="2"/>
  <c r="BJ525" i="2"/>
  <c r="BI525" i="2"/>
  <c r="BH525" i="2"/>
  <c r="BG525" i="2"/>
  <c r="BF525" i="2"/>
  <c r="BE525" i="2"/>
  <c r="BD525" i="2"/>
  <c r="BC525" i="2"/>
  <c r="BB525" i="2"/>
  <c r="BA525" i="2"/>
  <c r="AZ525" i="2"/>
  <c r="AY525" i="2"/>
  <c r="AX525" i="2"/>
  <c r="AW525" i="2"/>
  <c r="AV525" i="2"/>
  <c r="AT525" i="2"/>
  <c r="AS525" i="2"/>
  <c r="AR525" i="2"/>
  <c r="AQ525" i="2"/>
  <c r="AO525" i="2"/>
  <c r="AN525" i="2"/>
  <c r="AM525" i="2"/>
  <c r="AL525" i="2"/>
  <c r="AK525" i="2"/>
  <c r="AJ525" i="2"/>
  <c r="AI525" i="2"/>
  <c r="AH525" i="2"/>
  <c r="AG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C525" i="2"/>
  <c r="B525" i="2"/>
  <c r="BO524" i="2"/>
  <c r="BN524" i="2"/>
  <c r="BM524" i="2"/>
  <c r="BL524" i="2"/>
  <c r="BK524" i="2"/>
  <c r="BJ524" i="2"/>
  <c r="BI524" i="2"/>
  <c r="BH524" i="2"/>
  <c r="BG524" i="2"/>
  <c r="BF524" i="2"/>
  <c r="BE524" i="2"/>
  <c r="BD524" i="2"/>
  <c r="BC524" i="2"/>
  <c r="BB524" i="2"/>
  <c r="BA524" i="2"/>
  <c r="AZ524" i="2"/>
  <c r="AY524" i="2"/>
  <c r="AX524" i="2"/>
  <c r="AW524" i="2"/>
  <c r="AV524" i="2"/>
  <c r="AT524" i="2"/>
  <c r="AS524" i="2"/>
  <c r="AR524" i="2"/>
  <c r="AQ524" i="2"/>
  <c r="AO524" i="2"/>
  <c r="AN524" i="2"/>
  <c r="AM524" i="2"/>
  <c r="AL524" i="2"/>
  <c r="AK524" i="2"/>
  <c r="AJ524" i="2"/>
  <c r="AI524" i="2"/>
  <c r="AH524" i="2"/>
  <c r="AG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C524" i="2"/>
  <c r="B524" i="2"/>
  <c r="BO523" i="2"/>
  <c r="BN523" i="2"/>
  <c r="BM523" i="2"/>
  <c r="BL523" i="2"/>
  <c r="BK523" i="2"/>
  <c r="BJ523" i="2"/>
  <c r="BI523" i="2"/>
  <c r="BH523" i="2"/>
  <c r="BG523" i="2"/>
  <c r="BF523" i="2"/>
  <c r="BE523" i="2"/>
  <c r="BD523" i="2"/>
  <c r="BC523" i="2"/>
  <c r="BB523" i="2"/>
  <c r="BA523" i="2"/>
  <c r="AZ523" i="2"/>
  <c r="AY523" i="2"/>
  <c r="AX523" i="2"/>
  <c r="AW523" i="2"/>
  <c r="AV523" i="2"/>
  <c r="AT523" i="2"/>
  <c r="AS523" i="2"/>
  <c r="AR523" i="2"/>
  <c r="AQ523" i="2"/>
  <c r="AO523" i="2"/>
  <c r="AN523" i="2"/>
  <c r="AL523" i="2"/>
  <c r="AK523" i="2"/>
  <c r="AJ523" i="2"/>
  <c r="AI523" i="2"/>
  <c r="AH523" i="2"/>
  <c r="AG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C523" i="2"/>
  <c r="B523" i="2"/>
  <c r="BO522" i="2"/>
  <c r="BN522" i="2"/>
  <c r="BM522" i="2"/>
  <c r="BL522" i="2"/>
  <c r="BK522" i="2"/>
  <c r="BJ522" i="2"/>
  <c r="BI522" i="2"/>
  <c r="BH522" i="2"/>
  <c r="BG522" i="2"/>
  <c r="BF522" i="2"/>
  <c r="BE522" i="2"/>
  <c r="BD522" i="2"/>
  <c r="BC522" i="2"/>
  <c r="BB522" i="2"/>
  <c r="BA522" i="2"/>
  <c r="AZ522" i="2"/>
  <c r="AY522" i="2"/>
  <c r="AX522" i="2"/>
  <c r="AW522" i="2"/>
  <c r="AV522" i="2"/>
  <c r="AT522" i="2"/>
  <c r="AS522" i="2"/>
  <c r="AR522" i="2"/>
  <c r="AQ522" i="2"/>
  <c r="AO522" i="2"/>
  <c r="AN522" i="2"/>
  <c r="AL522" i="2"/>
  <c r="AK522" i="2"/>
  <c r="AJ522" i="2"/>
  <c r="AI522" i="2"/>
  <c r="AH522" i="2"/>
  <c r="AG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C522" i="2"/>
  <c r="B522" i="2"/>
  <c r="BO521" i="2"/>
  <c r="BN521" i="2"/>
  <c r="BM521" i="2"/>
  <c r="BL521" i="2"/>
  <c r="BK521" i="2"/>
  <c r="BJ521" i="2"/>
  <c r="BI521" i="2"/>
  <c r="BH521" i="2"/>
  <c r="BG521" i="2"/>
  <c r="BF521" i="2"/>
  <c r="BE521" i="2"/>
  <c r="BD521" i="2"/>
  <c r="BC521" i="2"/>
  <c r="BB521" i="2"/>
  <c r="BA521" i="2"/>
  <c r="AZ521" i="2"/>
  <c r="AY521" i="2"/>
  <c r="AX521" i="2"/>
  <c r="AW521" i="2"/>
  <c r="AV521" i="2"/>
  <c r="AT521" i="2"/>
  <c r="AS521" i="2"/>
  <c r="AR521" i="2"/>
  <c r="AQ521" i="2"/>
  <c r="AO521" i="2"/>
  <c r="AN521" i="2"/>
  <c r="AL521" i="2"/>
  <c r="AK521" i="2"/>
  <c r="AJ521" i="2"/>
  <c r="AI521" i="2"/>
  <c r="AH521" i="2"/>
  <c r="AG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C521" i="2"/>
  <c r="B521" i="2"/>
  <c r="BO520" i="2"/>
  <c r="BN520" i="2"/>
  <c r="BM520" i="2"/>
  <c r="BL520" i="2"/>
  <c r="BK520" i="2"/>
  <c r="BJ520" i="2"/>
  <c r="BI520" i="2"/>
  <c r="BH520" i="2"/>
  <c r="BG520" i="2"/>
  <c r="BF520" i="2"/>
  <c r="BE520" i="2"/>
  <c r="BD520" i="2"/>
  <c r="BC520" i="2"/>
  <c r="BB520" i="2"/>
  <c r="BA520" i="2"/>
  <c r="AZ520" i="2"/>
  <c r="AY520" i="2"/>
  <c r="AX520" i="2"/>
  <c r="AW520" i="2"/>
  <c r="AV520" i="2"/>
  <c r="AT520" i="2"/>
  <c r="AS520" i="2"/>
  <c r="AR520" i="2"/>
  <c r="AQ520" i="2"/>
  <c r="AO520" i="2"/>
  <c r="AN520" i="2"/>
  <c r="AL520" i="2"/>
  <c r="AK520" i="2"/>
  <c r="AJ520" i="2"/>
  <c r="AI520" i="2"/>
  <c r="AH520" i="2"/>
  <c r="AG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C520" i="2"/>
  <c r="B520" i="2"/>
  <c r="BO519" i="2"/>
  <c r="BN519" i="2"/>
  <c r="BM519" i="2"/>
  <c r="BL519" i="2"/>
  <c r="BK519" i="2"/>
  <c r="BJ519" i="2"/>
  <c r="BI519" i="2"/>
  <c r="BH519" i="2"/>
  <c r="BG519" i="2"/>
  <c r="BF519" i="2"/>
  <c r="BE519" i="2"/>
  <c r="BD519" i="2"/>
  <c r="BC519" i="2"/>
  <c r="BB519" i="2"/>
  <c r="BA519" i="2"/>
  <c r="AZ519" i="2"/>
  <c r="AY519" i="2"/>
  <c r="AX519" i="2"/>
  <c r="AW519" i="2"/>
  <c r="AV519" i="2"/>
  <c r="AT519" i="2"/>
  <c r="AS519" i="2"/>
  <c r="AR519" i="2"/>
  <c r="AQ519" i="2"/>
  <c r="AO519" i="2"/>
  <c r="AN519" i="2"/>
  <c r="AM519" i="2"/>
  <c r="AL519" i="2"/>
  <c r="AK519" i="2"/>
  <c r="AJ519" i="2"/>
  <c r="AI519" i="2"/>
  <c r="AH519" i="2"/>
  <c r="AG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C519" i="2"/>
  <c r="B519" i="2"/>
  <c r="BO518" i="2"/>
  <c r="BN518" i="2"/>
  <c r="BM518" i="2"/>
  <c r="BL518" i="2"/>
  <c r="BK518" i="2"/>
  <c r="BJ518" i="2"/>
  <c r="BI518" i="2"/>
  <c r="BH518" i="2"/>
  <c r="BG518" i="2"/>
  <c r="BF518" i="2"/>
  <c r="BE518" i="2"/>
  <c r="BD518" i="2"/>
  <c r="BC518" i="2"/>
  <c r="BB518" i="2"/>
  <c r="BA518" i="2"/>
  <c r="AZ518" i="2"/>
  <c r="AY518" i="2"/>
  <c r="AX518" i="2"/>
  <c r="AW518" i="2"/>
  <c r="AV518" i="2"/>
  <c r="AT518" i="2"/>
  <c r="AS518" i="2"/>
  <c r="AR518" i="2"/>
  <c r="AQ518" i="2"/>
  <c r="AO518" i="2"/>
  <c r="AN518" i="2"/>
  <c r="AM518" i="2"/>
  <c r="AL518" i="2"/>
  <c r="AK518" i="2"/>
  <c r="AJ518" i="2"/>
  <c r="AI518" i="2"/>
  <c r="AH518" i="2"/>
  <c r="AG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C518" i="2"/>
  <c r="B518" i="2"/>
  <c r="BO517" i="2"/>
  <c r="BN517" i="2"/>
  <c r="BM517" i="2"/>
  <c r="BL517" i="2"/>
  <c r="BK517" i="2"/>
  <c r="BJ517" i="2"/>
  <c r="BI517" i="2"/>
  <c r="BH517" i="2"/>
  <c r="BG517" i="2"/>
  <c r="BF517" i="2"/>
  <c r="BE517" i="2"/>
  <c r="BD517" i="2"/>
  <c r="BC517" i="2"/>
  <c r="BB517" i="2"/>
  <c r="BA517" i="2"/>
  <c r="AZ517" i="2"/>
  <c r="AY517" i="2"/>
  <c r="AX517" i="2"/>
  <c r="AW517" i="2"/>
  <c r="AV517" i="2"/>
  <c r="AT517" i="2"/>
  <c r="AS517" i="2"/>
  <c r="AR517" i="2"/>
  <c r="AQ517" i="2"/>
  <c r="AO517" i="2"/>
  <c r="AN517" i="2"/>
  <c r="AM517" i="2"/>
  <c r="AL517" i="2"/>
  <c r="AK517" i="2"/>
  <c r="AJ517" i="2"/>
  <c r="AI517" i="2"/>
  <c r="AH517" i="2"/>
  <c r="AG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C517" i="2"/>
  <c r="B517" i="2"/>
  <c r="BO516" i="2"/>
  <c r="BN516" i="2"/>
  <c r="BM516" i="2"/>
  <c r="BL516" i="2"/>
  <c r="BK516" i="2"/>
  <c r="BJ516" i="2"/>
  <c r="BI516" i="2"/>
  <c r="BH516" i="2"/>
  <c r="BG516" i="2"/>
  <c r="BF516" i="2"/>
  <c r="BE516" i="2"/>
  <c r="BD516" i="2"/>
  <c r="BC516" i="2"/>
  <c r="BB516" i="2"/>
  <c r="BA516" i="2"/>
  <c r="AZ516" i="2"/>
  <c r="AY516" i="2"/>
  <c r="AX516" i="2"/>
  <c r="AW516" i="2"/>
  <c r="AV516" i="2"/>
  <c r="AT516" i="2"/>
  <c r="AS516" i="2"/>
  <c r="AR516" i="2"/>
  <c r="AQ516" i="2"/>
  <c r="AO516" i="2"/>
  <c r="AN516" i="2"/>
  <c r="AM516" i="2"/>
  <c r="AL516" i="2"/>
  <c r="AK516" i="2"/>
  <c r="AJ516" i="2"/>
  <c r="AI516" i="2"/>
  <c r="AH516" i="2"/>
  <c r="AG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C516" i="2"/>
  <c r="B516" i="2"/>
  <c r="BO515" i="2"/>
  <c r="BN515" i="2"/>
  <c r="BM515" i="2"/>
  <c r="BL515" i="2"/>
  <c r="BK515" i="2"/>
  <c r="BJ515" i="2"/>
  <c r="BI515" i="2"/>
  <c r="BH515" i="2"/>
  <c r="BG515" i="2"/>
  <c r="BF515" i="2"/>
  <c r="BE515" i="2"/>
  <c r="BD515" i="2"/>
  <c r="BC515" i="2"/>
  <c r="BB515" i="2"/>
  <c r="BA515" i="2"/>
  <c r="AZ515" i="2"/>
  <c r="AY515" i="2"/>
  <c r="AX515" i="2"/>
  <c r="AW515" i="2"/>
  <c r="AV515" i="2"/>
  <c r="AT515" i="2"/>
  <c r="AS515" i="2"/>
  <c r="AR515" i="2"/>
  <c r="AQ515" i="2"/>
  <c r="AO515" i="2"/>
  <c r="AN515" i="2"/>
  <c r="AM515" i="2"/>
  <c r="AL515" i="2"/>
  <c r="AK515" i="2"/>
  <c r="AJ515" i="2"/>
  <c r="AI515" i="2"/>
  <c r="AH515" i="2"/>
  <c r="AG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C515" i="2"/>
  <c r="B515" i="2"/>
  <c r="BO514" i="2"/>
  <c r="BN514" i="2"/>
  <c r="BM514" i="2"/>
  <c r="BL514" i="2"/>
  <c r="BK514" i="2"/>
  <c r="BJ514" i="2"/>
  <c r="BI514" i="2"/>
  <c r="BH514" i="2"/>
  <c r="BG514" i="2"/>
  <c r="BF514" i="2"/>
  <c r="BE514" i="2"/>
  <c r="BD514" i="2"/>
  <c r="BC514" i="2"/>
  <c r="BB514" i="2"/>
  <c r="BA514" i="2"/>
  <c r="AZ514" i="2"/>
  <c r="AY514" i="2"/>
  <c r="AX514" i="2"/>
  <c r="AW514" i="2"/>
  <c r="AV514" i="2"/>
  <c r="AT514" i="2"/>
  <c r="AS514" i="2"/>
  <c r="AR514" i="2"/>
  <c r="AQ514" i="2"/>
  <c r="AO514" i="2"/>
  <c r="AN514" i="2"/>
  <c r="AM514" i="2"/>
  <c r="AL514" i="2"/>
  <c r="AK514" i="2"/>
  <c r="AJ514" i="2"/>
  <c r="AI514" i="2"/>
  <c r="AH514" i="2"/>
  <c r="AG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C514" i="2"/>
  <c r="B514" i="2"/>
  <c r="BO513" i="2"/>
  <c r="BN513" i="2"/>
  <c r="BM513" i="2"/>
  <c r="BL513" i="2"/>
  <c r="BK513" i="2"/>
  <c r="BJ513" i="2"/>
  <c r="BI513" i="2"/>
  <c r="BH513" i="2"/>
  <c r="BG513" i="2"/>
  <c r="BF513" i="2"/>
  <c r="BE513" i="2"/>
  <c r="BD513" i="2"/>
  <c r="BC513" i="2"/>
  <c r="BB513" i="2"/>
  <c r="BA513" i="2"/>
  <c r="AZ513" i="2"/>
  <c r="AY513" i="2"/>
  <c r="AX513" i="2"/>
  <c r="AW513" i="2"/>
  <c r="AV513" i="2"/>
  <c r="AT513" i="2"/>
  <c r="AS513" i="2"/>
  <c r="AR513" i="2"/>
  <c r="AQ513" i="2"/>
  <c r="AO513" i="2"/>
  <c r="AN513" i="2"/>
  <c r="AM513" i="2"/>
  <c r="AL513" i="2"/>
  <c r="AK513" i="2"/>
  <c r="AJ513" i="2"/>
  <c r="AI513" i="2"/>
  <c r="AH513" i="2"/>
  <c r="AG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C513" i="2"/>
  <c r="B513" i="2"/>
  <c r="BO512" i="2"/>
  <c r="BN512" i="2"/>
  <c r="BM512" i="2"/>
  <c r="BL512" i="2"/>
  <c r="BK512" i="2"/>
  <c r="BJ512" i="2"/>
  <c r="BI512" i="2"/>
  <c r="BH512" i="2"/>
  <c r="BG512" i="2"/>
  <c r="BF512" i="2"/>
  <c r="BE512" i="2"/>
  <c r="BD512" i="2"/>
  <c r="BC512" i="2"/>
  <c r="BB512" i="2"/>
  <c r="BA512" i="2"/>
  <c r="AZ512" i="2"/>
  <c r="AY512" i="2"/>
  <c r="AX512" i="2"/>
  <c r="AW512" i="2"/>
  <c r="AV512" i="2"/>
  <c r="AT512" i="2"/>
  <c r="AS512" i="2"/>
  <c r="AR512" i="2"/>
  <c r="AQ512" i="2"/>
  <c r="AO512" i="2"/>
  <c r="AN512" i="2"/>
  <c r="AM512" i="2"/>
  <c r="AL512" i="2"/>
  <c r="AK512" i="2"/>
  <c r="AJ512" i="2"/>
  <c r="AI512" i="2"/>
  <c r="AH512" i="2"/>
  <c r="AG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C512" i="2"/>
  <c r="B512" i="2"/>
  <c r="BO511" i="2"/>
  <c r="BN511" i="2"/>
  <c r="BM511" i="2"/>
  <c r="BL511" i="2"/>
  <c r="BK511" i="2"/>
  <c r="BJ511" i="2"/>
  <c r="BI511" i="2"/>
  <c r="BH511" i="2"/>
  <c r="BG511" i="2"/>
  <c r="BF511" i="2"/>
  <c r="BE511" i="2"/>
  <c r="BD511" i="2"/>
  <c r="BC511" i="2"/>
  <c r="BB511" i="2"/>
  <c r="BA511" i="2"/>
  <c r="AZ511" i="2"/>
  <c r="AY511" i="2"/>
  <c r="AX511" i="2"/>
  <c r="AW511" i="2"/>
  <c r="AV511" i="2"/>
  <c r="AT511" i="2"/>
  <c r="AS511" i="2"/>
  <c r="AR511" i="2"/>
  <c r="AQ511" i="2"/>
  <c r="AO511" i="2"/>
  <c r="AN511" i="2"/>
  <c r="AM511" i="2"/>
  <c r="AL511" i="2"/>
  <c r="AK511" i="2"/>
  <c r="AJ511" i="2"/>
  <c r="AI511" i="2"/>
  <c r="AH511" i="2"/>
  <c r="AG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C511" i="2"/>
  <c r="B511" i="2"/>
  <c r="BO510" i="2"/>
  <c r="BN510" i="2"/>
  <c r="BM510" i="2"/>
  <c r="BL510" i="2"/>
  <c r="BK510" i="2"/>
  <c r="BJ510" i="2"/>
  <c r="BI510" i="2"/>
  <c r="BH510" i="2"/>
  <c r="BG510" i="2"/>
  <c r="BF510" i="2"/>
  <c r="BE510" i="2"/>
  <c r="BD510" i="2"/>
  <c r="BC510" i="2"/>
  <c r="BB510" i="2"/>
  <c r="BA510" i="2"/>
  <c r="AZ510" i="2"/>
  <c r="AY510" i="2"/>
  <c r="AX510" i="2"/>
  <c r="AW510" i="2"/>
  <c r="AV510" i="2"/>
  <c r="AT510" i="2"/>
  <c r="AS510" i="2"/>
  <c r="AR510" i="2"/>
  <c r="AQ510" i="2"/>
  <c r="AO510" i="2"/>
  <c r="AN510" i="2"/>
  <c r="AM510" i="2"/>
  <c r="AL510" i="2"/>
  <c r="AK510" i="2"/>
  <c r="AJ510" i="2"/>
  <c r="AI510" i="2"/>
  <c r="AH510" i="2"/>
  <c r="AG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C510" i="2"/>
  <c r="B510" i="2"/>
  <c r="BO509" i="2"/>
  <c r="BN509" i="2"/>
  <c r="BM509" i="2"/>
  <c r="BL509" i="2"/>
  <c r="BK509" i="2"/>
  <c r="BJ509" i="2"/>
  <c r="BI509" i="2"/>
  <c r="BH509" i="2"/>
  <c r="BG509" i="2"/>
  <c r="BF509" i="2"/>
  <c r="BE509" i="2"/>
  <c r="BD509" i="2"/>
  <c r="BC509" i="2"/>
  <c r="BB509" i="2"/>
  <c r="BA509" i="2"/>
  <c r="AZ509" i="2"/>
  <c r="AY509" i="2"/>
  <c r="AX509" i="2"/>
  <c r="AW509" i="2"/>
  <c r="AV509" i="2"/>
  <c r="AT509" i="2"/>
  <c r="AS509" i="2"/>
  <c r="AR509" i="2"/>
  <c r="AQ509" i="2"/>
  <c r="AO509" i="2"/>
  <c r="AN509" i="2"/>
  <c r="AM509" i="2"/>
  <c r="AL509" i="2"/>
  <c r="AK509" i="2"/>
  <c r="AJ509" i="2"/>
  <c r="AI509" i="2"/>
  <c r="AH509" i="2"/>
  <c r="AG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C509" i="2"/>
  <c r="B509" i="2"/>
  <c r="BO508" i="2"/>
  <c r="BN508" i="2"/>
  <c r="BM508" i="2"/>
  <c r="BL508" i="2"/>
  <c r="BK508" i="2"/>
  <c r="BJ508" i="2"/>
  <c r="BI508" i="2"/>
  <c r="BH508" i="2"/>
  <c r="BG508" i="2"/>
  <c r="BF508" i="2"/>
  <c r="BE508" i="2"/>
  <c r="BD508" i="2"/>
  <c r="BC508" i="2"/>
  <c r="BB508" i="2"/>
  <c r="BA508" i="2"/>
  <c r="AZ508" i="2"/>
  <c r="AY508" i="2"/>
  <c r="AX508" i="2"/>
  <c r="AW508" i="2"/>
  <c r="AV508" i="2"/>
  <c r="AT508" i="2"/>
  <c r="AS508" i="2"/>
  <c r="AR508" i="2"/>
  <c r="AQ508" i="2"/>
  <c r="AO508" i="2"/>
  <c r="AN508" i="2"/>
  <c r="AM508" i="2"/>
  <c r="AL508" i="2"/>
  <c r="AK508" i="2"/>
  <c r="AJ508" i="2"/>
  <c r="AI508" i="2"/>
  <c r="AH508" i="2"/>
  <c r="AG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C508" i="2"/>
  <c r="B508" i="2"/>
  <c r="BO507" i="2"/>
  <c r="BN507" i="2"/>
  <c r="BM507" i="2"/>
  <c r="BL507" i="2"/>
  <c r="BK507" i="2"/>
  <c r="BJ507" i="2"/>
  <c r="BI507" i="2"/>
  <c r="BH507" i="2"/>
  <c r="BG507" i="2"/>
  <c r="BF507" i="2"/>
  <c r="BE507" i="2"/>
  <c r="BD507" i="2"/>
  <c r="BC507" i="2"/>
  <c r="BB507" i="2"/>
  <c r="BA507" i="2"/>
  <c r="AZ507" i="2"/>
  <c r="AY507" i="2"/>
  <c r="AX507" i="2"/>
  <c r="AW507" i="2"/>
  <c r="AV507" i="2"/>
  <c r="AT507" i="2"/>
  <c r="AS507" i="2"/>
  <c r="AR507" i="2"/>
  <c r="AQ507" i="2"/>
  <c r="AO507" i="2"/>
  <c r="AN507" i="2"/>
  <c r="AL507" i="2"/>
  <c r="AK507" i="2"/>
  <c r="AJ507" i="2"/>
  <c r="AI507" i="2"/>
  <c r="AH507" i="2"/>
  <c r="AG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C507" i="2"/>
  <c r="B507" i="2"/>
  <c r="BO506" i="2"/>
  <c r="BN506" i="2"/>
  <c r="BM506" i="2"/>
  <c r="BL506" i="2"/>
  <c r="BK506" i="2"/>
  <c r="BJ506" i="2"/>
  <c r="BI506" i="2"/>
  <c r="BH506" i="2"/>
  <c r="BG506" i="2"/>
  <c r="BF506" i="2"/>
  <c r="BE506" i="2"/>
  <c r="BD506" i="2"/>
  <c r="BC506" i="2"/>
  <c r="BB506" i="2"/>
  <c r="BA506" i="2"/>
  <c r="AZ506" i="2"/>
  <c r="AY506" i="2"/>
  <c r="AX506" i="2"/>
  <c r="AW506" i="2"/>
  <c r="AV506" i="2"/>
  <c r="AT506" i="2"/>
  <c r="AS506" i="2"/>
  <c r="AR506" i="2"/>
  <c r="AQ506" i="2"/>
  <c r="AO506" i="2"/>
  <c r="AN506" i="2"/>
  <c r="AL506" i="2"/>
  <c r="AK506" i="2"/>
  <c r="AJ506" i="2"/>
  <c r="AI506" i="2"/>
  <c r="AH506" i="2"/>
  <c r="AG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C506" i="2"/>
  <c r="B506" i="2"/>
  <c r="BO505" i="2"/>
  <c r="BN505" i="2"/>
  <c r="BM505" i="2"/>
  <c r="BL505" i="2"/>
  <c r="BK505" i="2"/>
  <c r="BJ505" i="2"/>
  <c r="BI505" i="2"/>
  <c r="BH505" i="2"/>
  <c r="BG505" i="2"/>
  <c r="BF505" i="2"/>
  <c r="BE505" i="2"/>
  <c r="BD505" i="2"/>
  <c r="BC505" i="2"/>
  <c r="BB505" i="2"/>
  <c r="BA505" i="2"/>
  <c r="AZ505" i="2"/>
  <c r="AY505" i="2"/>
  <c r="AX505" i="2"/>
  <c r="AW505" i="2"/>
  <c r="AV505" i="2"/>
  <c r="AT505" i="2"/>
  <c r="AS505" i="2"/>
  <c r="AR505" i="2"/>
  <c r="AQ505" i="2"/>
  <c r="AO505" i="2"/>
  <c r="AN505" i="2"/>
  <c r="AL505" i="2"/>
  <c r="AK505" i="2"/>
  <c r="AJ505" i="2"/>
  <c r="AI505" i="2"/>
  <c r="AH505" i="2"/>
  <c r="AG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C505" i="2"/>
  <c r="B505" i="2"/>
  <c r="BO504" i="2"/>
  <c r="BN504" i="2"/>
  <c r="BM504" i="2"/>
  <c r="BL504" i="2"/>
  <c r="BK504" i="2"/>
  <c r="BJ504" i="2"/>
  <c r="BI504" i="2"/>
  <c r="BH504" i="2"/>
  <c r="BG504" i="2"/>
  <c r="BF504" i="2"/>
  <c r="BE504" i="2"/>
  <c r="BD504" i="2"/>
  <c r="BC504" i="2"/>
  <c r="BB504" i="2"/>
  <c r="BA504" i="2"/>
  <c r="AZ504" i="2"/>
  <c r="AY504" i="2"/>
  <c r="AX504" i="2"/>
  <c r="AW504" i="2"/>
  <c r="AV504" i="2"/>
  <c r="AT504" i="2"/>
  <c r="AS504" i="2"/>
  <c r="AR504" i="2"/>
  <c r="AQ504" i="2"/>
  <c r="AO504" i="2"/>
  <c r="AN504" i="2"/>
  <c r="AM504" i="2"/>
  <c r="AL504" i="2"/>
  <c r="AK504" i="2"/>
  <c r="AJ504" i="2"/>
  <c r="AI504" i="2"/>
  <c r="AH504" i="2"/>
  <c r="AG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C504" i="2"/>
  <c r="B504" i="2"/>
  <c r="BO503" i="2"/>
  <c r="BN503" i="2"/>
  <c r="BM503" i="2"/>
  <c r="BL503" i="2"/>
  <c r="BK503" i="2"/>
  <c r="BJ503" i="2"/>
  <c r="BI503" i="2"/>
  <c r="BH503" i="2"/>
  <c r="BG503" i="2"/>
  <c r="BF503" i="2"/>
  <c r="BE503" i="2"/>
  <c r="BD503" i="2"/>
  <c r="BC503" i="2"/>
  <c r="BB503" i="2"/>
  <c r="BA503" i="2"/>
  <c r="AZ503" i="2"/>
  <c r="AY503" i="2"/>
  <c r="AX503" i="2"/>
  <c r="AW503" i="2"/>
  <c r="AV503" i="2"/>
  <c r="AT503" i="2"/>
  <c r="AS503" i="2"/>
  <c r="AR503" i="2"/>
  <c r="AQ503" i="2"/>
  <c r="AO503" i="2"/>
  <c r="AN503" i="2"/>
  <c r="AM503" i="2"/>
  <c r="AL503" i="2"/>
  <c r="AK503" i="2"/>
  <c r="AJ503" i="2"/>
  <c r="AI503" i="2"/>
  <c r="AH503" i="2"/>
  <c r="AG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C503" i="2"/>
  <c r="B503" i="2"/>
  <c r="BO502" i="2"/>
  <c r="BN502" i="2"/>
  <c r="BM502" i="2"/>
  <c r="BL502" i="2"/>
  <c r="BK502" i="2"/>
  <c r="BJ502" i="2"/>
  <c r="BI502" i="2"/>
  <c r="BH502" i="2"/>
  <c r="BG502" i="2"/>
  <c r="BF502" i="2"/>
  <c r="BE502" i="2"/>
  <c r="BD502" i="2"/>
  <c r="BC502" i="2"/>
  <c r="BB502" i="2"/>
  <c r="BA502" i="2"/>
  <c r="AZ502" i="2"/>
  <c r="AY502" i="2"/>
  <c r="AX502" i="2"/>
  <c r="AW502" i="2"/>
  <c r="AV502" i="2"/>
  <c r="AT502" i="2"/>
  <c r="AS502" i="2"/>
  <c r="AR502" i="2"/>
  <c r="AQ502" i="2"/>
  <c r="AO502" i="2"/>
  <c r="AN502" i="2"/>
  <c r="AM502" i="2"/>
  <c r="AL502" i="2"/>
  <c r="AK502" i="2"/>
  <c r="AJ502" i="2"/>
  <c r="AI502" i="2"/>
  <c r="AH502" i="2"/>
  <c r="AG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C502" i="2"/>
  <c r="B502" i="2"/>
  <c r="BO501" i="2"/>
  <c r="BN501" i="2"/>
  <c r="BM501" i="2"/>
  <c r="BL501" i="2"/>
  <c r="BK501" i="2"/>
  <c r="BJ501" i="2"/>
  <c r="BI501" i="2"/>
  <c r="BH501" i="2"/>
  <c r="BG501" i="2"/>
  <c r="BF501" i="2"/>
  <c r="BE501" i="2"/>
  <c r="BD501" i="2"/>
  <c r="BC501" i="2"/>
  <c r="BB501" i="2"/>
  <c r="BA501" i="2"/>
  <c r="AZ501" i="2"/>
  <c r="AY501" i="2"/>
  <c r="AX501" i="2"/>
  <c r="AW501" i="2"/>
  <c r="AV501" i="2"/>
  <c r="AT501" i="2"/>
  <c r="AS501" i="2"/>
  <c r="AR501" i="2"/>
  <c r="AQ501" i="2"/>
  <c r="AO501" i="2"/>
  <c r="AN501" i="2"/>
  <c r="AM501" i="2"/>
  <c r="AL501" i="2"/>
  <c r="AK501" i="2"/>
  <c r="AJ501" i="2"/>
  <c r="AI501" i="2"/>
  <c r="AH501" i="2"/>
  <c r="AG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C501" i="2"/>
  <c r="B501" i="2"/>
  <c r="BO500" i="2"/>
  <c r="BN500" i="2"/>
  <c r="BM500" i="2"/>
  <c r="BL500" i="2"/>
  <c r="BK500" i="2"/>
  <c r="BJ500" i="2"/>
  <c r="BI500" i="2"/>
  <c r="BH500" i="2"/>
  <c r="BG500" i="2"/>
  <c r="BF500" i="2"/>
  <c r="BE500" i="2"/>
  <c r="BD500" i="2"/>
  <c r="BC500" i="2"/>
  <c r="BB500" i="2"/>
  <c r="BA500" i="2"/>
  <c r="AZ500" i="2"/>
  <c r="AY500" i="2"/>
  <c r="AX500" i="2"/>
  <c r="AW500" i="2"/>
  <c r="AV500" i="2"/>
  <c r="AT500" i="2"/>
  <c r="AS500" i="2"/>
  <c r="AR500" i="2"/>
  <c r="AQ500" i="2"/>
  <c r="AO500" i="2"/>
  <c r="AN500" i="2"/>
  <c r="AM500" i="2"/>
  <c r="AL500" i="2"/>
  <c r="AK500" i="2"/>
  <c r="AJ500" i="2"/>
  <c r="AI500" i="2"/>
  <c r="AH500" i="2"/>
  <c r="AG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C500" i="2"/>
  <c r="B500" i="2"/>
  <c r="BO499" i="2"/>
  <c r="BN499" i="2"/>
  <c r="BM499" i="2"/>
  <c r="BL499" i="2"/>
  <c r="BK499" i="2"/>
  <c r="BJ499" i="2"/>
  <c r="BI499" i="2"/>
  <c r="BH499" i="2"/>
  <c r="BG499" i="2"/>
  <c r="BF499" i="2"/>
  <c r="BE499" i="2"/>
  <c r="BD499" i="2"/>
  <c r="BC499" i="2"/>
  <c r="BB499" i="2"/>
  <c r="BA499" i="2"/>
  <c r="AZ499" i="2"/>
  <c r="AY499" i="2"/>
  <c r="AX499" i="2"/>
  <c r="AW499" i="2"/>
  <c r="AV499" i="2"/>
  <c r="AT499" i="2"/>
  <c r="AS499" i="2"/>
  <c r="AR499" i="2"/>
  <c r="AQ499" i="2"/>
  <c r="AO499" i="2"/>
  <c r="AN499" i="2"/>
  <c r="AM499" i="2"/>
  <c r="AL499" i="2"/>
  <c r="AK499" i="2"/>
  <c r="AJ499" i="2"/>
  <c r="AI499" i="2"/>
  <c r="AH499" i="2"/>
  <c r="AG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C499" i="2"/>
  <c r="B499" i="2"/>
  <c r="BO498" i="2"/>
  <c r="BN498" i="2"/>
  <c r="BM498" i="2"/>
  <c r="BL498" i="2"/>
  <c r="BK498" i="2"/>
  <c r="BJ498" i="2"/>
  <c r="BI498" i="2"/>
  <c r="BH498" i="2"/>
  <c r="BG498" i="2"/>
  <c r="BF498" i="2"/>
  <c r="BE498" i="2"/>
  <c r="BD498" i="2"/>
  <c r="BC498" i="2"/>
  <c r="BB498" i="2"/>
  <c r="BA498" i="2"/>
  <c r="AZ498" i="2"/>
  <c r="AY498" i="2"/>
  <c r="AX498" i="2"/>
  <c r="AW498" i="2"/>
  <c r="AV498" i="2"/>
  <c r="AT498" i="2"/>
  <c r="AS498" i="2"/>
  <c r="AR498" i="2"/>
  <c r="AQ498" i="2"/>
  <c r="AO498" i="2"/>
  <c r="AN498" i="2"/>
  <c r="AM498" i="2"/>
  <c r="AL498" i="2"/>
  <c r="AK498" i="2"/>
  <c r="AJ498" i="2"/>
  <c r="AI498" i="2"/>
  <c r="AH498" i="2"/>
  <c r="AG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C498" i="2"/>
  <c r="B498" i="2"/>
  <c r="BO497" i="2"/>
  <c r="BN497" i="2"/>
  <c r="BM497" i="2"/>
  <c r="BL497" i="2"/>
  <c r="BK497" i="2"/>
  <c r="BJ497" i="2"/>
  <c r="BI497" i="2"/>
  <c r="BH497" i="2"/>
  <c r="BG497" i="2"/>
  <c r="BF497" i="2"/>
  <c r="BE497" i="2"/>
  <c r="BD497" i="2"/>
  <c r="BC497" i="2"/>
  <c r="BB497" i="2"/>
  <c r="BA497" i="2"/>
  <c r="AZ497" i="2"/>
  <c r="AY497" i="2"/>
  <c r="AX497" i="2"/>
  <c r="AW497" i="2"/>
  <c r="AV497" i="2"/>
  <c r="AT497" i="2"/>
  <c r="AS497" i="2"/>
  <c r="AR497" i="2"/>
  <c r="AQ497" i="2"/>
  <c r="AO497" i="2"/>
  <c r="AN497" i="2"/>
  <c r="AM497" i="2"/>
  <c r="AL497" i="2"/>
  <c r="AK497" i="2"/>
  <c r="AJ497" i="2"/>
  <c r="AI497" i="2"/>
  <c r="AH497" i="2"/>
  <c r="AG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BO496" i="2"/>
  <c r="BN496" i="2"/>
  <c r="BM496" i="2"/>
  <c r="BL496" i="2"/>
  <c r="BK496" i="2"/>
  <c r="BJ496" i="2"/>
  <c r="BI496" i="2"/>
  <c r="BH496" i="2"/>
  <c r="BG496" i="2"/>
  <c r="BF496" i="2"/>
  <c r="BE496" i="2"/>
  <c r="BD496" i="2"/>
  <c r="BC496" i="2"/>
  <c r="BB496" i="2"/>
  <c r="BA496" i="2"/>
  <c r="AZ496" i="2"/>
  <c r="AY496" i="2"/>
  <c r="AX496" i="2"/>
  <c r="AW496" i="2"/>
  <c r="AV496" i="2"/>
  <c r="AT496" i="2"/>
  <c r="AS496" i="2"/>
  <c r="AR496" i="2"/>
  <c r="AQ496" i="2"/>
  <c r="AO496" i="2"/>
  <c r="AN496" i="2"/>
  <c r="AM496" i="2"/>
  <c r="AL496" i="2"/>
  <c r="AK496" i="2"/>
  <c r="AJ496" i="2"/>
  <c r="AI496" i="2"/>
  <c r="AH496" i="2"/>
  <c r="AG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BO495" i="2"/>
  <c r="BN495" i="2"/>
  <c r="BM495" i="2"/>
  <c r="BL495" i="2"/>
  <c r="BK495" i="2"/>
  <c r="BJ495" i="2"/>
  <c r="BI495" i="2"/>
  <c r="BH495" i="2"/>
  <c r="BG495" i="2"/>
  <c r="BF495" i="2"/>
  <c r="BE495" i="2"/>
  <c r="BD495" i="2"/>
  <c r="BC495" i="2"/>
  <c r="BB495" i="2"/>
  <c r="BA495" i="2"/>
  <c r="AZ495" i="2"/>
  <c r="AY495" i="2"/>
  <c r="AX495" i="2"/>
  <c r="AW495" i="2"/>
  <c r="AV495" i="2"/>
  <c r="AT495" i="2"/>
  <c r="AS495" i="2"/>
  <c r="AR495" i="2"/>
  <c r="AQ495" i="2"/>
  <c r="AO495" i="2"/>
  <c r="AN495" i="2"/>
  <c r="AM495" i="2"/>
  <c r="AL495" i="2"/>
  <c r="AK495" i="2"/>
  <c r="AJ495" i="2"/>
  <c r="AI495" i="2"/>
  <c r="AH495" i="2"/>
  <c r="AG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BO494" i="2"/>
  <c r="BN494" i="2"/>
  <c r="BM494" i="2"/>
  <c r="BL494" i="2"/>
  <c r="BK494" i="2"/>
  <c r="BJ494" i="2"/>
  <c r="BI494" i="2"/>
  <c r="BH494" i="2"/>
  <c r="BG494" i="2"/>
  <c r="BF494" i="2"/>
  <c r="BE494" i="2"/>
  <c r="BD494" i="2"/>
  <c r="BC494" i="2"/>
  <c r="BB494" i="2"/>
  <c r="BA494" i="2"/>
  <c r="AZ494" i="2"/>
  <c r="AY494" i="2"/>
  <c r="AX494" i="2"/>
  <c r="AW494" i="2"/>
  <c r="AV494" i="2"/>
  <c r="AT494" i="2"/>
  <c r="AS494" i="2"/>
  <c r="AR494" i="2"/>
  <c r="AQ494" i="2"/>
  <c r="AO494" i="2"/>
  <c r="AN494" i="2"/>
  <c r="AM494" i="2"/>
  <c r="AL494" i="2"/>
  <c r="AK494" i="2"/>
  <c r="AJ494" i="2"/>
  <c r="AI494" i="2"/>
  <c r="AH494" i="2"/>
  <c r="AG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BO493" i="2"/>
  <c r="BN493" i="2"/>
  <c r="BM493" i="2"/>
  <c r="BL493" i="2"/>
  <c r="BK493" i="2"/>
  <c r="BJ493" i="2"/>
  <c r="BI493" i="2"/>
  <c r="BH493" i="2"/>
  <c r="BG493" i="2"/>
  <c r="BF493" i="2"/>
  <c r="BE493" i="2"/>
  <c r="BD493" i="2"/>
  <c r="BC493" i="2"/>
  <c r="BB493" i="2"/>
  <c r="BA493" i="2"/>
  <c r="AZ493" i="2"/>
  <c r="AY493" i="2"/>
  <c r="AX493" i="2"/>
  <c r="AW493" i="2"/>
  <c r="AV493" i="2"/>
  <c r="AT493" i="2"/>
  <c r="AS493" i="2"/>
  <c r="AR493" i="2"/>
  <c r="AQ493" i="2"/>
  <c r="AO493" i="2"/>
  <c r="AN493" i="2"/>
  <c r="AM493" i="2"/>
  <c r="AL493" i="2"/>
  <c r="AK493" i="2"/>
  <c r="AJ493" i="2"/>
  <c r="AI493" i="2"/>
  <c r="AH493" i="2"/>
  <c r="AG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BO492" i="2"/>
  <c r="BN492" i="2"/>
  <c r="BM492" i="2"/>
  <c r="BL492" i="2"/>
  <c r="BK492" i="2"/>
  <c r="BJ492" i="2"/>
  <c r="BI492" i="2"/>
  <c r="BH492" i="2"/>
  <c r="BG492" i="2"/>
  <c r="BF492" i="2"/>
  <c r="BE492" i="2"/>
  <c r="BD492" i="2"/>
  <c r="BC492" i="2"/>
  <c r="BB492" i="2"/>
  <c r="BA492" i="2"/>
  <c r="AZ492" i="2"/>
  <c r="AY492" i="2"/>
  <c r="AX492" i="2"/>
  <c r="AW492" i="2"/>
  <c r="AV492" i="2"/>
  <c r="AT492" i="2"/>
  <c r="AS492" i="2"/>
  <c r="AR492" i="2"/>
  <c r="AQ492" i="2"/>
  <c r="AO492" i="2"/>
  <c r="AN492" i="2"/>
  <c r="AM492" i="2"/>
  <c r="AL492" i="2"/>
  <c r="AK492" i="2"/>
  <c r="AJ492" i="2"/>
  <c r="AI492" i="2"/>
  <c r="AH492" i="2"/>
  <c r="AG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BO491" i="2"/>
  <c r="BN491" i="2"/>
  <c r="BM491" i="2"/>
  <c r="BL491" i="2"/>
  <c r="BK491" i="2"/>
  <c r="BJ491" i="2"/>
  <c r="BI491" i="2"/>
  <c r="BH491" i="2"/>
  <c r="BG491" i="2"/>
  <c r="BF491" i="2"/>
  <c r="BE491" i="2"/>
  <c r="BD491" i="2"/>
  <c r="BC491" i="2"/>
  <c r="BB491" i="2"/>
  <c r="BA491" i="2"/>
  <c r="AZ491" i="2"/>
  <c r="AY491" i="2"/>
  <c r="AX491" i="2"/>
  <c r="AW491" i="2"/>
  <c r="AV491" i="2"/>
  <c r="AT491" i="2"/>
  <c r="AS491" i="2"/>
  <c r="AR491" i="2"/>
  <c r="AQ491" i="2"/>
  <c r="AO491" i="2"/>
  <c r="AN491" i="2"/>
  <c r="AM491" i="2"/>
  <c r="AL491" i="2"/>
  <c r="AK491" i="2"/>
  <c r="AJ491" i="2"/>
  <c r="AI491" i="2"/>
  <c r="AH491" i="2"/>
  <c r="AG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BO490" i="2"/>
  <c r="BN490" i="2"/>
  <c r="BM490" i="2"/>
  <c r="BL490" i="2"/>
  <c r="BK490" i="2"/>
  <c r="BJ490" i="2"/>
  <c r="BI490" i="2"/>
  <c r="BH490" i="2"/>
  <c r="BG490" i="2"/>
  <c r="BF490" i="2"/>
  <c r="BE490" i="2"/>
  <c r="BD490" i="2"/>
  <c r="BC490" i="2"/>
  <c r="BB490" i="2"/>
  <c r="BA490" i="2"/>
  <c r="AZ490" i="2"/>
  <c r="AY490" i="2"/>
  <c r="AX490" i="2"/>
  <c r="AW490" i="2"/>
  <c r="AV490" i="2"/>
  <c r="AT490" i="2"/>
  <c r="AS490" i="2"/>
  <c r="AR490" i="2"/>
  <c r="AQ490" i="2"/>
  <c r="AO490" i="2"/>
  <c r="AN490" i="2"/>
  <c r="AM490" i="2"/>
  <c r="AL490" i="2"/>
  <c r="AK490" i="2"/>
  <c r="AJ490" i="2"/>
  <c r="AI490" i="2"/>
  <c r="AH490" i="2"/>
  <c r="AG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BO489" i="2"/>
  <c r="BN489" i="2"/>
  <c r="BM489" i="2"/>
  <c r="BL489" i="2"/>
  <c r="BK489" i="2"/>
  <c r="BJ489" i="2"/>
  <c r="BI489" i="2"/>
  <c r="BH489" i="2"/>
  <c r="BG489" i="2"/>
  <c r="BF489" i="2"/>
  <c r="BE489" i="2"/>
  <c r="BD489" i="2"/>
  <c r="BC489" i="2"/>
  <c r="BB489" i="2"/>
  <c r="BA489" i="2"/>
  <c r="AZ489" i="2"/>
  <c r="AY489" i="2"/>
  <c r="AX489" i="2"/>
  <c r="AW489" i="2"/>
  <c r="AV489" i="2"/>
  <c r="AT489" i="2"/>
  <c r="AS489" i="2"/>
  <c r="AR489" i="2"/>
  <c r="AQ489" i="2"/>
  <c r="AO489" i="2"/>
  <c r="AN489" i="2"/>
  <c r="AM489" i="2"/>
  <c r="AL489" i="2"/>
  <c r="AK489" i="2"/>
  <c r="AJ489" i="2"/>
  <c r="AI489" i="2"/>
  <c r="AH489" i="2"/>
  <c r="AG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BO488" i="2"/>
  <c r="BN488" i="2"/>
  <c r="BM488" i="2"/>
  <c r="BL488" i="2"/>
  <c r="BK488" i="2"/>
  <c r="BJ488" i="2"/>
  <c r="BI488" i="2"/>
  <c r="BH488" i="2"/>
  <c r="BG488" i="2"/>
  <c r="BF488" i="2"/>
  <c r="BE488" i="2"/>
  <c r="BD488" i="2"/>
  <c r="BC488" i="2"/>
  <c r="BB488" i="2"/>
  <c r="BA488" i="2"/>
  <c r="AZ488" i="2"/>
  <c r="AY488" i="2"/>
  <c r="AX488" i="2"/>
  <c r="AW488" i="2"/>
  <c r="AV488" i="2"/>
  <c r="AT488" i="2"/>
  <c r="AS488" i="2"/>
  <c r="AR488" i="2"/>
  <c r="AQ488" i="2"/>
  <c r="AO488" i="2"/>
  <c r="AN488" i="2"/>
  <c r="AM488" i="2"/>
  <c r="AL488" i="2"/>
  <c r="AK488" i="2"/>
  <c r="AJ488" i="2"/>
  <c r="AI488" i="2"/>
  <c r="AH488" i="2"/>
  <c r="AG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BO487" i="2"/>
  <c r="BN487" i="2"/>
  <c r="BM487" i="2"/>
  <c r="BL487" i="2"/>
  <c r="BK487" i="2"/>
  <c r="BJ487" i="2"/>
  <c r="BI487" i="2"/>
  <c r="BH487" i="2"/>
  <c r="BG487" i="2"/>
  <c r="BF487" i="2"/>
  <c r="BE487" i="2"/>
  <c r="BD487" i="2"/>
  <c r="BC487" i="2"/>
  <c r="BB487" i="2"/>
  <c r="BA487" i="2"/>
  <c r="AZ487" i="2"/>
  <c r="AY487" i="2"/>
  <c r="AX487" i="2"/>
  <c r="AW487" i="2"/>
  <c r="AV487" i="2"/>
  <c r="AT487" i="2"/>
  <c r="AS487" i="2"/>
  <c r="AR487" i="2"/>
  <c r="AQ487" i="2"/>
  <c r="AO487" i="2"/>
  <c r="AN487" i="2"/>
  <c r="AM487" i="2"/>
  <c r="AL487" i="2"/>
  <c r="AK487" i="2"/>
  <c r="AJ487" i="2"/>
  <c r="AI487" i="2"/>
  <c r="AH487" i="2"/>
  <c r="AG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BO486" i="2"/>
  <c r="BN486" i="2"/>
  <c r="BM486" i="2"/>
  <c r="BL486" i="2"/>
  <c r="BK486" i="2"/>
  <c r="BJ486" i="2"/>
  <c r="BI486" i="2"/>
  <c r="BH486" i="2"/>
  <c r="BG486" i="2"/>
  <c r="BF486" i="2"/>
  <c r="BE486" i="2"/>
  <c r="BD486" i="2"/>
  <c r="BC486" i="2"/>
  <c r="BB486" i="2"/>
  <c r="BA486" i="2"/>
  <c r="AZ486" i="2"/>
  <c r="AY486" i="2"/>
  <c r="AX486" i="2"/>
  <c r="AW486" i="2"/>
  <c r="AV486" i="2"/>
  <c r="AT486" i="2"/>
  <c r="AS486" i="2"/>
  <c r="AR486" i="2"/>
  <c r="AQ486" i="2"/>
  <c r="AO486" i="2"/>
  <c r="AN486" i="2"/>
  <c r="AM486" i="2"/>
  <c r="AL486" i="2"/>
  <c r="AK486" i="2"/>
  <c r="AJ486" i="2"/>
  <c r="AI486" i="2"/>
  <c r="AH486" i="2"/>
  <c r="AG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BO485" i="2"/>
  <c r="BN485" i="2"/>
  <c r="BM485" i="2"/>
  <c r="BL485" i="2"/>
  <c r="BK485" i="2"/>
  <c r="BJ485" i="2"/>
  <c r="BI485" i="2"/>
  <c r="BH485" i="2"/>
  <c r="BG485" i="2"/>
  <c r="BF485" i="2"/>
  <c r="BE485" i="2"/>
  <c r="BD485" i="2"/>
  <c r="BC485" i="2"/>
  <c r="BB485" i="2"/>
  <c r="BA485" i="2"/>
  <c r="AZ485" i="2"/>
  <c r="AY485" i="2"/>
  <c r="AX485" i="2"/>
  <c r="AW485" i="2"/>
  <c r="AV485" i="2"/>
  <c r="AT485" i="2"/>
  <c r="AS485" i="2"/>
  <c r="AR485" i="2"/>
  <c r="AQ485" i="2"/>
  <c r="AO485" i="2"/>
  <c r="AN485" i="2"/>
  <c r="AM485" i="2"/>
  <c r="AL485" i="2"/>
  <c r="AK485" i="2"/>
  <c r="AJ485" i="2"/>
  <c r="AI485" i="2"/>
  <c r="AH485" i="2"/>
  <c r="AG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BO484" i="2"/>
  <c r="BN484" i="2"/>
  <c r="BM484" i="2"/>
  <c r="BL484" i="2"/>
  <c r="BK484" i="2"/>
  <c r="BJ484" i="2"/>
  <c r="BI484" i="2"/>
  <c r="BH484" i="2"/>
  <c r="BG484" i="2"/>
  <c r="BF484" i="2"/>
  <c r="BE484" i="2"/>
  <c r="BD484" i="2"/>
  <c r="BC484" i="2"/>
  <c r="BB484" i="2"/>
  <c r="BA484" i="2"/>
  <c r="AZ484" i="2"/>
  <c r="AY484" i="2"/>
  <c r="AX484" i="2"/>
  <c r="AW484" i="2"/>
  <c r="AV484" i="2"/>
  <c r="AT484" i="2"/>
  <c r="AS484" i="2"/>
  <c r="AR484" i="2"/>
  <c r="AQ484" i="2"/>
  <c r="AO484" i="2"/>
  <c r="AN484" i="2"/>
  <c r="AM484" i="2"/>
  <c r="AL484" i="2"/>
  <c r="AK484" i="2"/>
  <c r="AJ484" i="2"/>
  <c r="AI484" i="2"/>
  <c r="AH484" i="2"/>
  <c r="AG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BO483" i="2"/>
  <c r="BN483" i="2"/>
  <c r="BM483" i="2"/>
  <c r="BL483" i="2"/>
  <c r="BK483" i="2"/>
  <c r="BJ483" i="2"/>
  <c r="BI483" i="2"/>
  <c r="BH483" i="2"/>
  <c r="BG483" i="2"/>
  <c r="BF483" i="2"/>
  <c r="BE483" i="2"/>
  <c r="BD483" i="2"/>
  <c r="BC483" i="2"/>
  <c r="BB483" i="2"/>
  <c r="BA483" i="2"/>
  <c r="AZ483" i="2"/>
  <c r="AY483" i="2"/>
  <c r="AX483" i="2"/>
  <c r="AW483" i="2"/>
  <c r="AV483" i="2"/>
  <c r="AT483" i="2"/>
  <c r="AS483" i="2"/>
  <c r="AR483" i="2"/>
  <c r="AQ483" i="2"/>
  <c r="AO483" i="2"/>
  <c r="AN483" i="2"/>
  <c r="AM483" i="2"/>
  <c r="AL483" i="2"/>
  <c r="AK483" i="2"/>
  <c r="AJ483" i="2"/>
  <c r="AI483" i="2"/>
  <c r="AH483" i="2"/>
  <c r="AG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BO482" i="2"/>
  <c r="BN482" i="2"/>
  <c r="BM482" i="2"/>
  <c r="BL482" i="2"/>
  <c r="BK482" i="2"/>
  <c r="BJ482" i="2"/>
  <c r="BI482" i="2"/>
  <c r="BH482" i="2"/>
  <c r="BG482" i="2"/>
  <c r="BF482" i="2"/>
  <c r="BE482" i="2"/>
  <c r="BD482" i="2"/>
  <c r="BC482" i="2"/>
  <c r="BB482" i="2"/>
  <c r="BA482" i="2"/>
  <c r="AZ482" i="2"/>
  <c r="AY482" i="2"/>
  <c r="AX482" i="2"/>
  <c r="AW482" i="2"/>
  <c r="AV482" i="2"/>
  <c r="AT482" i="2"/>
  <c r="AS482" i="2"/>
  <c r="AR482" i="2"/>
  <c r="AQ482" i="2"/>
  <c r="AO482" i="2"/>
  <c r="AN482" i="2"/>
  <c r="AM482" i="2"/>
  <c r="AL482" i="2"/>
  <c r="AK482" i="2"/>
  <c r="AJ482" i="2"/>
  <c r="AI482" i="2"/>
  <c r="AH482" i="2"/>
  <c r="AG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BO481" i="2"/>
  <c r="BN481" i="2"/>
  <c r="BM481" i="2"/>
  <c r="BL481" i="2"/>
  <c r="BK481" i="2"/>
  <c r="BJ481" i="2"/>
  <c r="BI481" i="2"/>
  <c r="BH481" i="2"/>
  <c r="BG481" i="2"/>
  <c r="BF481" i="2"/>
  <c r="BE481" i="2"/>
  <c r="BD481" i="2"/>
  <c r="BC481" i="2"/>
  <c r="BB481" i="2"/>
  <c r="BA481" i="2"/>
  <c r="AZ481" i="2"/>
  <c r="AY481" i="2"/>
  <c r="AX481" i="2"/>
  <c r="AW481" i="2"/>
  <c r="AV481" i="2"/>
  <c r="AT481" i="2"/>
  <c r="AS481" i="2"/>
  <c r="AR481" i="2"/>
  <c r="AQ481" i="2"/>
  <c r="AO481" i="2"/>
  <c r="AN481" i="2"/>
  <c r="AM481" i="2"/>
  <c r="AL481" i="2"/>
  <c r="AK481" i="2"/>
  <c r="AJ481" i="2"/>
  <c r="AI481" i="2"/>
  <c r="AH481" i="2"/>
  <c r="AG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BO480" i="2"/>
  <c r="BN480" i="2"/>
  <c r="BM480" i="2"/>
  <c r="BL480" i="2"/>
  <c r="BK480" i="2"/>
  <c r="BJ480" i="2"/>
  <c r="BI480" i="2"/>
  <c r="BH480" i="2"/>
  <c r="BG480" i="2"/>
  <c r="BF480" i="2"/>
  <c r="BE480" i="2"/>
  <c r="BD480" i="2"/>
  <c r="BC480" i="2"/>
  <c r="BB480" i="2"/>
  <c r="BA480" i="2"/>
  <c r="AZ480" i="2"/>
  <c r="AY480" i="2"/>
  <c r="AX480" i="2"/>
  <c r="AW480" i="2"/>
  <c r="AV480" i="2"/>
  <c r="AT480" i="2"/>
  <c r="AS480" i="2"/>
  <c r="AR480" i="2"/>
  <c r="AQ480" i="2"/>
  <c r="AO480" i="2"/>
  <c r="AN480" i="2"/>
  <c r="AM480" i="2"/>
  <c r="AL480" i="2"/>
  <c r="AK480" i="2"/>
  <c r="AJ480" i="2"/>
  <c r="AI480" i="2"/>
  <c r="AH480" i="2"/>
  <c r="AG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BO479" i="2"/>
  <c r="BN479" i="2"/>
  <c r="BM479" i="2"/>
  <c r="BL479" i="2"/>
  <c r="BK479" i="2"/>
  <c r="BJ479" i="2"/>
  <c r="BI479" i="2"/>
  <c r="BH479" i="2"/>
  <c r="BG479" i="2"/>
  <c r="BF479" i="2"/>
  <c r="BE479" i="2"/>
  <c r="BD479" i="2"/>
  <c r="BC479" i="2"/>
  <c r="BB479" i="2"/>
  <c r="BA479" i="2"/>
  <c r="AZ479" i="2"/>
  <c r="AY479" i="2"/>
  <c r="AX479" i="2"/>
  <c r="AW479" i="2"/>
  <c r="AV479" i="2"/>
  <c r="AT479" i="2"/>
  <c r="AS479" i="2"/>
  <c r="AR479" i="2"/>
  <c r="AQ479" i="2"/>
  <c r="AO479" i="2"/>
  <c r="AN479" i="2"/>
  <c r="AM479" i="2"/>
  <c r="AL479" i="2"/>
  <c r="AK479" i="2"/>
  <c r="AJ479" i="2"/>
  <c r="AI479" i="2"/>
  <c r="AH479" i="2"/>
  <c r="AG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BO478" i="2"/>
  <c r="BN478" i="2"/>
  <c r="BM478" i="2"/>
  <c r="BL478" i="2"/>
  <c r="BK478" i="2"/>
  <c r="BJ478" i="2"/>
  <c r="BI478" i="2"/>
  <c r="BH478" i="2"/>
  <c r="BG478" i="2"/>
  <c r="BF478" i="2"/>
  <c r="BE478" i="2"/>
  <c r="BD478" i="2"/>
  <c r="BC478" i="2"/>
  <c r="BB478" i="2"/>
  <c r="BA478" i="2"/>
  <c r="AZ478" i="2"/>
  <c r="AY478" i="2"/>
  <c r="AX478" i="2"/>
  <c r="AW478" i="2"/>
  <c r="AV478" i="2"/>
  <c r="AT478" i="2"/>
  <c r="AS478" i="2"/>
  <c r="AR478" i="2"/>
  <c r="AQ478" i="2"/>
  <c r="AO478" i="2"/>
  <c r="AN478" i="2"/>
  <c r="AM478" i="2"/>
  <c r="AL478" i="2"/>
  <c r="AK478" i="2"/>
  <c r="AJ478" i="2"/>
  <c r="AI478" i="2"/>
  <c r="AH478" i="2"/>
  <c r="AG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BO477" i="2"/>
  <c r="BN477" i="2"/>
  <c r="BM477" i="2"/>
  <c r="BL477" i="2"/>
  <c r="BK477" i="2"/>
  <c r="BJ477" i="2"/>
  <c r="BI477" i="2"/>
  <c r="BH477" i="2"/>
  <c r="BG477" i="2"/>
  <c r="BF477" i="2"/>
  <c r="BE477" i="2"/>
  <c r="BD477" i="2"/>
  <c r="BC477" i="2"/>
  <c r="BB477" i="2"/>
  <c r="BA477" i="2"/>
  <c r="AZ477" i="2"/>
  <c r="AY477" i="2"/>
  <c r="AX477" i="2"/>
  <c r="AW477" i="2"/>
  <c r="AV477" i="2"/>
  <c r="AT477" i="2"/>
  <c r="AS477" i="2"/>
  <c r="AR477" i="2"/>
  <c r="AQ477" i="2"/>
  <c r="AO477" i="2"/>
  <c r="AN477" i="2"/>
  <c r="AM477" i="2"/>
  <c r="AL477" i="2"/>
  <c r="AK477" i="2"/>
  <c r="AJ477" i="2"/>
  <c r="AI477" i="2"/>
  <c r="AH477" i="2"/>
  <c r="AG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BO476" i="2"/>
  <c r="BN476" i="2"/>
  <c r="BM476" i="2"/>
  <c r="BL476" i="2"/>
  <c r="BK476" i="2"/>
  <c r="BJ476" i="2"/>
  <c r="BI476" i="2"/>
  <c r="BH476" i="2"/>
  <c r="BG476" i="2"/>
  <c r="BF476" i="2"/>
  <c r="BE476" i="2"/>
  <c r="BD476" i="2"/>
  <c r="BC476" i="2"/>
  <c r="BB476" i="2"/>
  <c r="BA476" i="2"/>
  <c r="AZ476" i="2"/>
  <c r="AY476" i="2"/>
  <c r="AX476" i="2"/>
  <c r="AW476" i="2"/>
  <c r="AV476" i="2"/>
  <c r="AT476" i="2"/>
  <c r="AS476" i="2"/>
  <c r="AR476" i="2"/>
  <c r="AQ476" i="2"/>
  <c r="AO476" i="2"/>
  <c r="AN476" i="2"/>
  <c r="AM476" i="2"/>
  <c r="AL476" i="2"/>
  <c r="AK476" i="2"/>
  <c r="AJ476" i="2"/>
  <c r="AI476" i="2"/>
  <c r="AH476" i="2"/>
  <c r="AG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BO475" i="2"/>
  <c r="BN475" i="2"/>
  <c r="BM475" i="2"/>
  <c r="BL475" i="2"/>
  <c r="BK475" i="2"/>
  <c r="BJ475" i="2"/>
  <c r="BI475" i="2"/>
  <c r="BH475" i="2"/>
  <c r="BG475" i="2"/>
  <c r="BF475" i="2"/>
  <c r="BE475" i="2"/>
  <c r="BD475" i="2"/>
  <c r="BC475" i="2"/>
  <c r="BB475" i="2"/>
  <c r="BA475" i="2"/>
  <c r="AZ475" i="2"/>
  <c r="AY475" i="2"/>
  <c r="AX475" i="2"/>
  <c r="AW475" i="2"/>
  <c r="AV475" i="2"/>
  <c r="AT475" i="2"/>
  <c r="AS475" i="2"/>
  <c r="AR475" i="2"/>
  <c r="AQ475" i="2"/>
  <c r="AO475" i="2"/>
  <c r="AN475" i="2"/>
  <c r="AM475" i="2"/>
  <c r="AL475" i="2"/>
  <c r="AK475" i="2"/>
  <c r="AJ475" i="2"/>
  <c r="AI475" i="2"/>
  <c r="AH475" i="2"/>
  <c r="AG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BO474" i="2"/>
  <c r="BN474" i="2"/>
  <c r="BM474" i="2"/>
  <c r="BL474" i="2"/>
  <c r="BK474" i="2"/>
  <c r="BJ474" i="2"/>
  <c r="BI474" i="2"/>
  <c r="BH474" i="2"/>
  <c r="BG474" i="2"/>
  <c r="BF474" i="2"/>
  <c r="BE474" i="2"/>
  <c r="BD474" i="2"/>
  <c r="BC474" i="2"/>
  <c r="BB474" i="2"/>
  <c r="BA474" i="2"/>
  <c r="AZ474" i="2"/>
  <c r="AY474" i="2"/>
  <c r="AX474" i="2"/>
  <c r="AW474" i="2"/>
  <c r="AV474" i="2"/>
  <c r="AT474" i="2"/>
  <c r="AS474" i="2"/>
  <c r="AR474" i="2"/>
  <c r="AQ474" i="2"/>
  <c r="AO474" i="2"/>
  <c r="AN474" i="2"/>
  <c r="AM474" i="2"/>
  <c r="AL474" i="2"/>
  <c r="AK474" i="2"/>
  <c r="AJ474" i="2"/>
  <c r="AI474" i="2"/>
  <c r="AH474" i="2"/>
  <c r="AG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BO473" i="2"/>
  <c r="BN473" i="2"/>
  <c r="BM473" i="2"/>
  <c r="BL473" i="2"/>
  <c r="BK473" i="2"/>
  <c r="BJ473" i="2"/>
  <c r="BI473" i="2"/>
  <c r="BH473" i="2"/>
  <c r="BG473" i="2"/>
  <c r="BF473" i="2"/>
  <c r="BE473" i="2"/>
  <c r="BD473" i="2"/>
  <c r="BC473" i="2"/>
  <c r="BB473" i="2"/>
  <c r="BA473" i="2"/>
  <c r="AZ473" i="2"/>
  <c r="AY473" i="2"/>
  <c r="AX473" i="2"/>
  <c r="AW473" i="2"/>
  <c r="AV473" i="2"/>
  <c r="AT473" i="2"/>
  <c r="AS473" i="2"/>
  <c r="AR473" i="2"/>
  <c r="AQ473" i="2"/>
  <c r="AO473" i="2"/>
  <c r="AN473" i="2"/>
  <c r="AM473" i="2"/>
  <c r="AL473" i="2"/>
  <c r="AK473" i="2"/>
  <c r="AJ473" i="2"/>
  <c r="AI473" i="2"/>
  <c r="AH473" i="2"/>
  <c r="AG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BO472" i="2"/>
  <c r="BN472" i="2"/>
  <c r="BM472" i="2"/>
  <c r="BL472" i="2"/>
  <c r="BK472" i="2"/>
  <c r="BJ472" i="2"/>
  <c r="BI472" i="2"/>
  <c r="BH472" i="2"/>
  <c r="BG472" i="2"/>
  <c r="BF472" i="2"/>
  <c r="BE472" i="2"/>
  <c r="BD472" i="2"/>
  <c r="BC472" i="2"/>
  <c r="BB472" i="2"/>
  <c r="BA472" i="2"/>
  <c r="AZ472" i="2"/>
  <c r="AY472" i="2"/>
  <c r="AX472" i="2"/>
  <c r="AW472" i="2"/>
  <c r="AV472" i="2"/>
  <c r="AT472" i="2"/>
  <c r="AS472" i="2"/>
  <c r="AR472" i="2"/>
  <c r="AQ472" i="2"/>
  <c r="AO472" i="2"/>
  <c r="AN472" i="2"/>
  <c r="AM472" i="2"/>
  <c r="AL472" i="2"/>
  <c r="AK472" i="2"/>
  <c r="AJ472" i="2"/>
  <c r="AI472" i="2"/>
  <c r="AH472" i="2"/>
  <c r="AG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BO471" i="2"/>
  <c r="BN471" i="2"/>
  <c r="BM471" i="2"/>
  <c r="BL471" i="2"/>
  <c r="BK471" i="2"/>
  <c r="BJ471" i="2"/>
  <c r="BI471" i="2"/>
  <c r="BH471" i="2"/>
  <c r="BG471" i="2"/>
  <c r="BF471" i="2"/>
  <c r="BE471" i="2"/>
  <c r="BD471" i="2"/>
  <c r="BC471" i="2"/>
  <c r="BB471" i="2"/>
  <c r="BA471" i="2"/>
  <c r="AZ471" i="2"/>
  <c r="AY471" i="2"/>
  <c r="AX471" i="2"/>
  <c r="AW471" i="2"/>
  <c r="AV471" i="2"/>
  <c r="AT471" i="2"/>
  <c r="AS471" i="2"/>
  <c r="AR471" i="2"/>
  <c r="AQ471" i="2"/>
  <c r="AO471" i="2"/>
  <c r="AN471" i="2"/>
  <c r="AM471" i="2"/>
  <c r="AL471" i="2"/>
  <c r="AK471" i="2"/>
  <c r="AJ471" i="2"/>
  <c r="AI471" i="2"/>
  <c r="AH471" i="2"/>
  <c r="AG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BO470" i="2"/>
  <c r="BN470" i="2"/>
  <c r="BM470" i="2"/>
  <c r="BL470" i="2"/>
  <c r="BK470" i="2"/>
  <c r="BJ470" i="2"/>
  <c r="BI470" i="2"/>
  <c r="BH470" i="2"/>
  <c r="BG470" i="2"/>
  <c r="BF470" i="2"/>
  <c r="BE470" i="2"/>
  <c r="BD470" i="2"/>
  <c r="BC470" i="2"/>
  <c r="BB470" i="2"/>
  <c r="BA470" i="2"/>
  <c r="AZ470" i="2"/>
  <c r="AY470" i="2"/>
  <c r="AX470" i="2"/>
  <c r="AW470" i="2"/>
  <c r="AV470" i="2"/>
  <c r="AT470" i="2"/>
  <c r="AS470" i="2"/>
  <c r="AR470" i="2"/>
  <c r="AQ470" i="2"/>
  <c r="AO470" i="2"/>
  <c r="AN470" i="2"/>
  <c r="AM470" i="2"/>
  <c r="AL470" i="2"/>
  <c r="AK470" i="2"/>
  <c r="AJ470" i="2"/>
  <c r="AI470" i="2"/>
  <c r="AH470" i="2"/>
  <c r="AG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BO469" i="2"/>
  <c r="BN469" i="2"/>
  <c r="BM469" i="2"/>
  <c r="BL469" i="2"/>
  <c r="BK469" i="2"/>
  <c r="BJ469" i="2"/>
  <c r="BI469" i="2"/>
  <c r="BH469" i="2"/>
  <c r="BG469" i="2"/>
  <c r="BF469" i="2"/>
  <c r="BE469" i="2"/>
  <c r="BD469" i="2"/>
  <c r="BC469" i="2"/>
  <c r="BB469" i="2"/>
  <c r="BA469" i="2"/>
  <c r="AZ469" i="2"/>
  <c r="AY469" i="2"/>
  <c r="AX469" i="2"/>
  <c r="AW469" i="2"/>
  <c r="AV469" i="2"/>
  <c r="AT469" i="2"/>
  <c r="AS469" i="2"/>
  <c r="AR469" i="2"/>
  <c r="AQ469" i="2"/>
  <c r="AO469" i="2"/>
  <c r="AN469" i="2"/>
  <c r="AM469" i="2"/>
  <c r="AL469" i="2"/>
  <c r="AK469" i="2"/>
  <c r="AJ469" i="2"/>
  <c r="AI469" i="2"/>
  <c r="AH469" i="2"/>
  <c r="AG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BO468" i="2"/>
  <c r="BN468" i="2"/>
  <c r="BM468" i="2"/>
  <c r="BL468" i="2"/>
  <c r="BK468" i="2"/>
  <c r="BJ468" i="2"/>
  <c r="BI468" i="2"/>
  <c r="BH468" i="2"/>
  <c r="BG468" i="2"/>
  <c r="BF468" i="2"/>
  <c r="BE468" i="2"/>
  <c r="BD468" i="2"/>
  <c r="BC468" i="2"/>
  <c r="BB468" i="2"/>
  <c r="BA468" i="2"/>
  <c r="AZ468" i="2"/>
  <c r="AY468" i="2"/>
  <c r="AX468" i="2"/>
  <c r="AW468" i="2"/>
  <c r="AV468" i="2"/>
  <c r="AT468" i="2"/>
  <c r="AS468" i="2"/>
  <c r="AR468" i="2"/>
  <c r="AQ468" i="2"/>
  <c r="AO468" i="2"/>
  <c r="AN468" i="2"/>
  <c r="AM468" i="2"/>
  <c r="AL468" i="2"/>
  <c r="AK468" i="2"/>
  <c r="AJ468" i="2"/>
  <c r="AI468" i="2"/>
  <c r="AH468" i="2"/>
  <c r="AG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BO467" i="2"/>
  <c r="BN467" i="2"/>
  <c r="BM467" i="2"/>
  <c r="BL467" i="2"/>
  <c r="BK467" i="2"/>
  <c r="BJ467" i="2"/>
  <c r="BI467" i="2"/>
  <c r="BH467" i="2"/>
  <c r="BG467" i="2"/>
  <c r="BF467" i="2"/>
  <c r="BE467" i="2"/>
  <c r="BD467" i="2"/>
  <c r="BC467" i="2"/>
  <c r="BB467" i="2"/>
  <c r="BA467" i="2"/>
  <c r="AZ467" i="2"/>
  <c r="AY467" i="2"/>
  <c r="AX467" i="2"/>
  <c r="AW467" i="2"/>
  <c r="AV467" i="2"/>
  <c r="AT467" i="2"/>
  <c r="AS467" i="2"/>
  <c r="AR467" i="2"/>
  <c r="AQ467" i="2"/>
  <c r="AO467" i="2"/>
  <c r="AN467" i="2"/>
  <c r="AM467" i="2"/>
  <c r="AL467" i="2"/>
  <c r="AK467" i="2"/>
  <c r="AJ467" i="2"/>
  <c r="AI467" i="2"/>
  <c r="AH467" i="2"/>
  <c r="AG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BO466" i="2"/>
  <c r="BN466" i="2"/>
  <c r="BM466" i="2"/>
  <c r="BL466" i="2"/>
  <c r="BK466" i="2"/>
  <c r="BJ466" i="2"/>
  <c r="BI466" i="2"/>
  <c r="BH466" i="2"/>
  <c r="BG466" i="2"/>
  <c r="BF466" i="2"/>
  <c r="BE466" i="2"/>
  <c r="BD466" i="2"/>
  <c r="BC466" i="2"/>
  <c r="BB466" i="2"/>
  <c r="BA466" i="2"/>
  <c r="AZ466" i="2"/>
  <c r="AY466" i="2"/>
  <c r="AX466" i="2"/>
  <c r="AW466" i="2"/>
  <c r="AV466" i="2"/>
  <c r="AT466" i="2"/>
  <c r="AS466" i="2"/>
  <c r="AR466" i="2"/>
  <c r="AQ466" i="2"/>
  <c r="AO466" i="2"/>
  <c r="AN466" i="2"/>
  <c r="AM466" i="2"/>
  <c r="AL466" i="2"/>
  <c r="AK466" i="2"/>
  <c r="AJ466" i="2"/>
  <c r="AI466" i="2"/>
  <c r="AH466" i="2"/>
  <c r="AG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BO465" i="2"/>
  <c r="BN465" i="2"/>
  <c r="BM465" i="2"/>
  <c r="BL465" i="2"/>
  <c r="BK465" i="2"/>
  <c r="BJ465" i="2"/>
  <c r="BI465" i="2"/>
  <c r="BH465" i="2"/>
  <c r="BG465" i="2"/>
  <c r="BF465" i="2"/>
  <c r="BE465" i="2"/>
  <c r="BD465" i="2"/>
  <c r="BC465" i="2"/>
  <c r="BB465" i="2"/>
  <c r="BA465" i="2"/>
  <c r="AZ465" i="2"/>
  <c r="AY465" i="2"/>
  <c r="AX465" i="2"/>
  <c r="AW465" i="2"/>
  <c r="AV465" i="2"/>
  <c r="AT465" i="2"/>
  <c r="AS465" i="2"/>
  <c r="AR465" i="2"/>
  <c r="AQ465" i="2"/>
  <c r="AO465" i="2"/>
  <c r="AN465" i="2"/>
  <c r="AM465" i="2"/>
  <c r="AL465" i="2"/>
  <c r="AK465" i="2"/>
  <c r="AJ465" i="2"/>
  <c r="AI465" i="2"/>
  <c r="AH465" i="2"/>
  <c r="AG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BO464" i="2"/>
  <c r="BN464" i="2"/>
  <c r="BM464" i="2"/>
  <c r="BL464" i="2"/>
  <c r="BK464" i="2"/>
  <c r="BJ464" i="2"/>
  <c r="BI464" i="2"/>
  <c r="BH464" i="2"/>
  <c r="BG464" i="2"/>
  <c r="BF464" i="2"/>
  <c r="BE464" i="2"/>
  <c r="BD464" i="2"/>
  <c r="BC464" i="2"/>
  <c r="BB464" i="2"/>
  <c r="BA464" i="2"/>
  <c r="AZ464" i="2"/>
  <c r="AY464" i="2"/>
  <c r="AX464" i="2"/>
  <c r="AW464" i="2"/>
  <c r="AV464" i="2"/>
  <c r="AT464" i="2"/>
  <c r="AS464" i="2"/>
  <c r="AR464" i="2"/>
  <c r="AQ464" i="2"/>
  <c r="AO464" i="2"/>
  <c r="AN464" i="2"/>
  <c r="AM464" i="2"/>
  <c r="AL464" i="2"/>
  <c r="AK464" i="2"/>
  <c r="AJ464" i="2"/>
  <c r="AI464" i="2"/>
  <c r="AH464" i="2"/>
  <c r="AG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BO463" i="2"/>
  <c r="BN463" i="2"/>
  <c r="BM463" i="2"/>
  <c r="BL463" i="2"/>
  <c r="BK463" i="2"/>
  <c r="BJ463" i="2"/>
  <c r="BI463" i="2"/>
  <c r="BH463" i="2"/>
  <c r="BG463" i="2"/>
  <c r="BF463" i="2"/>
  <c r="BE463" i="2"/>
  <c r="BD463" i="2"/>
  <c r="BC463" i="2"/>
  <c r="BB463" i="2"/>
  <c r="BA463" i="2"/>
  <c r="AZ463" i="2"/>
  <c r="AY463" i="2"/>
  <c r="AX463" i="2"/>
  <c r="AW463" i="2"/>
  <c r="AV463" i="2"/>
  <c r="AT463" i="2"/>
  <c r="AS463" i="2"/>
  <c r="AR463" i="2"/>
  <c r="AQ463" i="2"/>
  <c r="AO463" i="2"/>
  <c r="AN463" i="2"/>
  <c r="AM463" i="2"/>
  <c r="AL463" i="2"/>
  <c r="AK463" i="2"/>
  <c r="AJ463" i="2"/>
  <c r="AI463" i="2"/>
  <c r="AH463" i="2"/>
  <c r="AG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BO462" i="2"/>
  <c r="BN462" i="2"/>
  <c r="BM462" i="2"/>
  <c r="BL462" i="2"/>
  <c r="BK462" i="2"/>
  <c r="BJ462" i="2"/>
  <c r="BI462" i="2"/>
  <c r="BH462" i="2"/>
  <c r="BG462" i="2"/>
  <c r="BF462" i="2"/>
  <c r="BE462" i="2"/>
  <c r="BD462" i="2"/>
  <c r="BC462" i="2"/>
  <c r="BB462" i="2"/>
  <c r="BA462" i="2"/>
  <c r="AZ462" i="2"/>
  <c r="AY462" i="2"/>
  <c r="AX462" i="2"/>
  <c r="AW462" i="2"/>
  <c r="AV462" i="2"/>
  <c r="AT462" i="2"/>
  <c r="AS462" i="2"/>
  <c r="AR462" i="2"/>
  <c r="AQ462" i="2"/>
  <c r="AO462" i="2"/>
  <c r="AN462" i="2"/>
  <c r="AM462" i="2"/>
  <c r="AL462" i="2"/>
  <c r="AK462" i="2"/>
  <c r="AJ462" i="2"/>
  <c r="AI462" i="2"/>
  <c r="AH462" i="2"/>
  <c r="AG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BO461" i="2"/>
  <c r="BN461" i="2"/>
  <c r="BM461" i="2"/>
  <c r="BL461" i="2"/>
  <c r="BK461" i="2"/>
  <c r="BJ461" i="2"/>
  <c r="BI461" i="2"/>
  <c r="BH461" i="2"/>
  <c r="BG461" i="2"/>
  <c r="BF461" i="2"/>
  <c r="BE461" i="2"/>
  <c r="BD461" i="2"/>
  <c r="BC461" i="2"/>
  <c r="BB461" i="2"/>
  <c r="BA461" i="2"/>
  <c r="AZ461" i="2"/>
  <c r="AY461" i="2"/>
  <c r="AX461" i="2"/>
  <c r="AW461" i="2"/>
  <c r="AV461" i="2"/>
  <c r="AT461" i="2"/>
  <c r="AS461" i="2"/>
  <c r="AR461" i="2"/>
  <c r="AQ461" i="2"/>
  <c r="AO461" i="2"/>
  <c r="AN461" i="2"/>
  <c r="AM461" i="2"/>
  <c r="AL461" i="2"/>
  <c r="AK461" i="2"/>
  <c r="AJ461" i="2"/>
  <c r="AI461" i="2"/>
  <c r="AH461" i="2"/>
  <c r="AG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BO460" i="2"/>
  <c r="BN460" i="2"/>
  <c r="BM460" i="2"/>
  <c r="BL460" i="2"/>
  <c r="BK460" i="2"/>
  <c r="BJ460" i="2"/>
  <c r="BI460" i="2"/>
  <c r="BH460" i="2"/>
  <c r="BG460" i="2"/>
  <c r="BF460" i="2"/>
  <c r="BE460" i="2"/>
  <c r="BD460" i="2"/>
  <c r="BC460" i="2"/>
  <c r="BB460" i="2"/>
  <c r="BA460" i="2"/>
  <c r="AZ460" i="2"/>
  <c r="AY460" i="2"/>
  <c r="AX460" i="2"/>
  <c r="AW460" i="2"/>
  <c r="AV460" i="2"/>
  <c r="AT460" i="2"/>
  <c r="AS460" i="2"/>
  <c r="AR460" i="2"/>
  <c r="AQ460" i="2"/>
  <c r="AO460" i="2"/>
  <c r="AN460" i="2"/>
  <c r="AM460" i="2"/>
  <c r="AL460" i="2"/>
  <c r="AK460" i="2"/>
  <c r="AJ460" i="2"/>
  <c r="AI460" i="2"/>
  <c r="AH460" i="2"/>
  <c r="AG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BO459" i="2"/>
  <c r="BN459" i="2"/>
  <c r="BM459" i="2"/>
  <c r="BL459" i="2"/>
  <c r="BK459" i="2"/>
  <c r="BJ459" i="2"/>
  <c r="BI459" i="2"/>
  <c r="BH459" i="2"/>
  <c r="BG459" i="2"/>
  <c r="BF459" i="2"/>
  <c r="BE459" i="2"/>
  <c r="BD459" i="2"/>
  <c r="BC459" i="2"/>
  <c r="BB459" i="2"/>
  <c r="BA459" i="2"/>
  <c r="AZ459" i="2"/>
  <c r="AY459" i="2"/>
  <c r="AX459" i="2"/>
  <c r="AW459" i="2"/>
  <c r="AV459" i="2"/>
  <c r="AT459" i="2"/>
  <c r="AS459" i="2"/>
  <c r="AR459" i="2"/>
  <c r="AQ459" i="2"/>
  <c r="AO459" i="2"/>
  <c r="AN459" i="2"/>
  <c r="AM459" i="2"/>
  <c r="AL459" i="2"/>
  <c r="AK459" i="2"/>
  <c r="AJ459" i="2"/>
  <c r="AI459" i="2"/>
  <c r="AH459" i="2"/>
  <c r="AG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BO458" i="2"/>
  <c r="BN458" i="2"/>
  <c r="BM458" i="2"/>
  <c r="BL458" i="2"/>
  <c r="BK458" i="2"/>
  <c r="BJ458" i="2"/>
  <c r="BI458" i="2"/>
  <c r="BH458" i="2"/>
  <c r="BG458" i="2"/>
  <c r="BF458" i="2"/>
  <c r="BE458" i="2"/>
  <c r="BD458" i="2"/>
  <c r="BC458" i="2"/>
  <c r="BB458" i="2"/>
  <c r="BA458" i="2"/>
  <c r="AZ458" i="2"/>
  <c r="AY458" i="2"/>
  <c r="AX458" i="2"/>
  <c r="AW458" i="2"/>
  <c r="AV458" i="2"/>
  <c r="AT458" i="2"/>
  <c r="AS458" i="2"/>
  <c r="AR458" i="2"/>
  <c r="AQ458" i="2"/>
  <c r="AO458" i="2"/>
  <c r="AN458" i="2"/>
  <c r="AM458" i="2"/>
  <c r="AL458" i="2"/>
  <c r="AK458" i="2"/>
  <c r="AJ458" i="2"/>
  <c r="AI458" i="2"/>
  <c r="AH458" i="2"/>
  <c r="AG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BO457" i="2"/>
  <c r="BN457" i="2"/>
  <c r="BM457" i="2"/>
  <c r="BL457" i="2"/>
  <c r="BK457" i="2"/>
  <c r="BJ457" i="2"/>
  <c r="BI457" i="2"/>
  <c r="BH457" i="2"/>
  <c r="BG457" i="2"/>
  <c r="BF457" i="2"/>
  <c r="BE457" i="2"/>
  <c r="BD457" i="2"/>
  <c r="BC457" i="2"/>
  <c r="BB457" i="2"/>
  <c r="BA457" i="2"/>
  <c r="AZ457" i="2"/>
  <c r="AY457" i="2"/>
  <c r="AX457" i="2"/>
  <c r="AW457" i="2"/>
  <c r="AV457" i="2"/>
  <c r="AT457" i="2"/>
  <c r="AS457" i="2"/>
  <c r="AR457" i="2"/>
  <c r="AQ457" i="2"/>
  <c r="AO457" i="2"/>
  <c r="AN457" i="2"/>
  <c r="AM457" i="2"/>
  <c r="AL457" i="2"/>
  <c r="AK457" i="2"/>
  <c r="AJ457" i="2"/>
  <c r="AI457" i="2"/>
  <c r="AH457" i="2"/>
  <c r="AG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BO456" i="2"/>
  <c r="BN456" i="2"/>
  <c r="BM456" i="2"/>
  <c r="BL456" i="2"/>
  <c r="BK456" i="2"/>
  <c r="BJ456" i="2"/>
  <c r="BI456" i="2"/>
  <c r="BH456" i="2"/>
  <c r="BG456" i="2"/>
  <c r="BF456" i="2"/>
  <c r="BE456" i="2"/>
  <c r="BD456" i="2"/>
  <c r="BC456" i="2"/>
  <c r="BB456" i="2"/>
  <c r="BA456" i="2"/>
  <c r="AZ456" i="2"/>
  <c r="AY456" i="2"/>
  <c r="AX456" i="2"/>
  <c r="AW456" i="2"/>
  <c r="AV456" i="2"/>
  <c r="AT456" i="2"/>
  <c r="AS456" i="2"/>
  <c r="AR456" i="2"/>
  <c r="AQ456" i="2"/>
  <c r="AO456" i="2"/>
  <c r="AN456" i="2"/>
  <c r="AM456" i="2"/>
  <c r="AL456" i="2"/>
  <c r="AK456" i="2"/>
  <c r="AJ456" i="2"/>
  <c r="AI456" i="2"/>
  <c r="AH456" i="2"/>
  <c r="AG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BO455" i="2"/>
  <c r="BN455" i="2"/>
  <c r="BM455" i="2"/>
  <c r="BL455" i="2"/>
  <c r="BK455" i="2"/>
  <c r="BJ455" i="2"/>
  <c r="BI455" i="2"/>
  <c r="BH455" i="2"/>
  <c r="BG455" i="2"/>
  <c r="BF455" i="2"/>
  <c r="BE455" i="2"/>
  <c r="BD455" i="2"/>
  <c r="BC455" i="2"/>
  <c r="BB455" i="2"/>
  <c r="BA455" i="2"/>
  <c r="AZ455" i="2"/>
  <c r="AY455" i="2"/>
  <c r="AX455" i="2"/>
  <c r="AW455" i="2"/>
  <c r="AV455" i="2"/>
  <c r="AT455" i="2"/>
  <c r="AS455" i="2"/>
  <c r="AR455" i="2"/>
  <c r="AQ455" i="2"/>
  <c r="AO455" i="2"/>
  <c r="AN455" i="2"/>
  <c r="AM455" i="2"/>
  <c r="AL455" i="2"/>
  <c r="AK455" i="2"/>
  <c r="AJ455" i="2"/>
  <c r="AI455" i="2"/>
  <c r="AH455" i="2"/>
  <c r="AG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BO454" i="2"/>
  <c r="BN454" i="2"/>
  <c r="BM454" i="2"/>
  <c r="BL454" i="2"/>
  <c r="BK454" i="2"/>
  <c r="BJ454" i="2"/>
  <c r="BI454" i="2"/>
  <c r="BH454" i="2"/>
  <c r="BG454" i="2"/>
  <c r="BF454" i="2"/>
  <c r="BE454" i="2"/>
  <c r="BD454" i="2"/>
  <c r="BC454" i="2"/>
  <c r="BB454" i="2"/>
  <c r="BA454" i="2"/>
  <c r="AZ454" i="2"/>
  <c r="AY454" i="2"/>
  <c r="AX454" i="2"/>
  <c r="AW454" i="2"/>
  <c r="AV454" i="2"/>
  <c r="AT454" i="2"/>
  <c r="AS454" i="2"/>
  <c r="AR454" i="2"/>
  <c r="AQ454" i="2"/>
  <c r="AO454" i="2"/>
  <c r="AN454" i="2"/>
  <c r="AM454" i="2"/>
  <c r="AL454" i="2"/>
  <c r="AK454" i="2"/>
  <c r="AJ454" i="2"/>
  <c r="AI454" i="2"/>
  <c r="AH454" i="2"/>
  <c r="AG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BO453" i="2"/>
  <c r="BN453" i="2"/>
  <c r="BM453" i="2"/>
  <c r="BL453" i="2"/>
  <c r="BK453" i="2"/>
  <c r="BJ453" i="2"/>
  <c r="BI453" i="2"/>
  <c r="BH453" i="2"/>
  <c r="BG453" i="2"/>
  <c r="BF453" i="2"/>
  <c r="BE453" i="2"/>
  <c r="BD453" i="2"/>
  <c r="BC453" i="2"/>
  <c r="BB453" i="2"/>
  <c r="BA453" i="2"/>
  <c r="AZ453" i="2"/>
  <c r="AY453" i="2"/>
  <c r="AX453" i="2"/>
  <c r="AW453" i="2"/>
  <c r="AV453" i="2"/>
  <c r="AT453" i="2"/>
  <c r="AS453" i="2"/>
  <c r="AR453" i="2"/>
  <c r="AQ453" i="2"/>
  <c r="AO453" i="2"/>
  <c r="AN453" i="2"/>
  <c r="AM453" i="2"/>
  <c r="AL453" i="2"/>
  <c r="AK453" i="2"/>
  <c r="AJ453" i="2"/>
  <c r="AI453" i="2"/>
  <c r="AH453" i="2"/>
  <c r="AG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BO452" i="2"/>
  <c r="BN452" i="2"/>
  <c r="BM452" i="2"/>
  <c r="BL452" i="2"/>
  <c r="BK452" i="2"/>
  <c r="BJ452" i="2"/>
  <c r="BI452" i="2"/>
  <c r="BH452" i="2"/>
  <c r="BG452" i="2"/>
  <c r="BF452" i="2"/>
  <c r="BE452" i="2"/>
  <c r="BD452" i="2"/>
  <c r="BC452" i="2"/>
  <c r="BB452" i="2"/>
  <c r="BA452" i="2"/>
  <c r="AZ452" i="2"/>
  <c r="AY452" i="2"/>
  <c r="AX452" i="2"/>
  <c r="AW452" i="2"/>
  <c r="AV452" i="2"/>
  <c r="AT452" i="2"/>
  <c r="AS452" i="2"/>
  <c r="AR452" i="2"/>
  <c r="AQ452" i="2"/>
  <c r="AO452" i="2"/>
  <c r="AN452" i="2"/>
  <c r="AM452" i="2"/>
  <c r="AL452" i="2"/>
  <c r="AK452" i="2"/>
  <c r="AJ452" i="2"/>
  <c r="AI452" i="2"/>
  <c r="AH452" i="2"/>
  <c r="AG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BO451" i="2"/>
  <c r="BN451" i="2"/>
  <c r="BM451" i="2"/>
  <c r="BL451" i="2"/>
  <c r="BK451" i="2"/>
  <c r="BJ451" i="2"/>
  <c r="BI451" i="2"/>
  <c r="BH451" i="2"/>
  <c r="BG451" i="2"/>
  <c r="BF451" i="2"/>
  <c r="BE451" i="2"/>
  <c r="BD451" i="2"/>
  <c r="BC451" i="2"/>
  <c r="BB451" i="2"/>
  <c r="BA451" i="2"/>
  <c r="AZ451" i="2"/>
  <c r="AY451" i="2"/>
  <c r="AX451" i="2"/>
  <c r="AW451" i="2"/>
  <c r="AV451" i="2"/>
  <c r="AT451" i="2"/>
  <c r="AS451" i="2"/>
  <c r="AR451" i="2"/>
  <c r="AQ451" i="2"/>
  <c r="AO451" i="2"/>
  <c r="AN451" i="2"/>
  <c r="AM451" i="2"/>
  <c r="AL451" i="2"/>
  <c r="AK451" i="2"/>
  <c r="AJ451" i="2"/>
  <c r="AI451" i="2"/>
  <c r="AH451" i="2"/>
  <c r="AG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BO450" i="2"/>
  <c r="BN450" i="2"/>
  <c r="BM450" i="2"/>
  <c r="BL450" i="2"/>
  <c r="BK450" i="2"/>
  <c r="BJ450" i="2"/>
  <c r="BI450" i="2"/>
  <c r="BH450" i="2"/>
  <c r="BG450" i="2"/>
  <c r="BF450" i="2"/>
  <c r="BE450" i="2"/>
  <c r="BD450" i="2"/>
  <c r="BC450" i="2"/>
  <c r="BB450" i="2"/>
  <c r="BA450" i="2"/>
  <c r="AZ450" i="2"/>
  <c r="AY450" i="2"/>
  <c r="AX450" i="2"/>
  <c r="AW450" i="2"/>
  <c r="AV450" i="2"/>
  <c r="AT450" i="2"/>
  <c r="AS450" i="2"/>
  <c r="AR450" i="2"/>
  <c r="AQ450" i="2"/>
  <c r="AO450" i="2"/>
  <c r="AN450" i="2"/>
  <c r="AM450" i="2"/>
  <c r="AL450" i="2"/>
  <c r="AK450" i="2"/>
  <c r="AJ450" i="2"/>
  <c r="AI450" i="2"/>
  <c r="AH450" i="2"/>
  <c r="AG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BO449" i="2"/>
  <c r="BN449" i="2"/>
  <c r="BM449" i="2"/>
  <c r="BL449" i="2"/>
  <c r="BK449" i="2"/>
  <c r="BJ449" i="2"/>
  <c r="BI449" i="2"/>
  <c r="BH449" i="2"/>
  <c r="BG449" i="2"/>
  <c r="BF449" i="2"/>
  <c r="BE449" i="2"/>
  <c r="BD449" i="2"/>
  <c r="BC449" i="2"/>
  <c r="BB449" i="2"/>
  <c r="BA449" i="2"/>
  <c r="AZ449" i="2"/>
  <c r="AY449" i="2"/>
  <c r="AX449" i="2"/>
  <c r="AW449" i="2"/>
  <c r="AV449" i="2"/>
  <c r="AT449" i="2"/>
  <c r="AS449" i="2"/>
  <c r="AR449" i="2"/>
  <c r="AQ449" i="2"/>
  <c r="AO449" i="2"/>
  <c r="AN449" i="2"/>
  <c r="AM449" i="2"/>
  <c r="AL449" i="2"/>
  <c r="AK449" i="2"/>
  <c r="AJ449" i="2"/>
  <c r="AI449" i="2"/>
  <c r="AH449" i="2"/>
  <c r="AG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BO448" i="2"/>
  <c r="BN448" i="2"/>
  <c r="BM448" i="2"/>
  <c r="BL448" i="2"/>
  <c r="BK448" i="2"/>
  <c r="BJ448" i="2"/>
  <c r="BI448" i="2"/>
  <c r="BH448" i="2"/>
  <c r="BG448" i="2"/>
  <c r="BF448" i="2"/>
  <c r="BE448" i="2"/>
  <c r="BD448" i="2"/>
  <c r="BC448" i="2"/>
  <c r="BB448" i="2"/>
  <c r="BA448" i="2"/>
  <c r="AZ448" i="2"/>
  <c r="AY448" i="2"/>
  <c r="AX448" i="2"/>
  <c r="AW448" i="2"/>
  <c r="AV448" i="2"/>
  <c r="AT448" i="2"/>
  <c r="AS448" i="2"/>
  <c r="AR448" i="2"/>
  <c r="AQ448" i="2"/>
  <c r="AO448" i="2"/>
  <c r="AN448" i="2"/>
  <c r="AM448" i="2"/>
  <c r="AL448" i="2"/>
  <c r="AK448" i="2"/>
  <c r="AJ448" i="2"/>
  <c r="AI448" i="2"/>
  <c r="AH448" i="2"/>
  <c r="AG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BO447" i="2"/>
  <c r="BN447" i="2"/>
  <c r="BM447" i="2"/>
  <c r="BL447" i="2"/>
  <c r="BK447" i="2"/>
  <c r="BJ447" i="2"/>
  <c r="BI447" i="2"/>
  <c r="BH447" i="2"/>
  <c r="BG447" i="2"/>
  <c r="BF447" i="2"/>
  <c r="BE447" i="2"/>
  <c r="BD447" i="2"/>
  <c r="BC447" i="2"/>
  <c r="BB447" i="2"/>
  <c r="BA447" i="2"/>
  <c r="AZ447" i="2"/>
  <c r="AY447" i="2"/>
  <c r="AX447" i="2"/>
  <c r="AW447" i="2"/>
  <c r="AV447" i="2"/>
  <c r="AT447" i="2"/>
  <c r="AS447" i="2"/>
  <c r="AR447" i="2"/>
  <c r="AQ447" i="2"/>
  <c r="AO447" i="2"/>
  <c r="AN447" i="2"/>
  <c r="AM447" i="2"/>
  <c r="AL447" i="2"/>
  <c r="AK447" i="2"/>
  <c r="AJ447" i="2"/>
  <c r="AI447" i="2"/>
  <c r="AH447" i="2"/>
  <c r="AG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BO446" i="2"/>
  <c r="BN446" i="2"/>
  <c r="BM446" i="2"/>
  <c r="BL446" i="2"/>
  <c r="BK446" i="2"/>
  <c r="BJ446" i="2"/>
  <c r="BI446" i="2"/>
  <c r="BH446" i="2"/>
  <c r="BG446" i="2"/>
  <c r="BF446" i="2"/>
  <c r="BE446" i="2"/>
  <c r="BD446" i="2"/>
  <c r="BC446" i="2"/>
  <c r="BB446" i="2"/>
  <c r="BA446" i="2"/>
  <c r="AZ446" i="2"/>
  <c r="AY446" i="2"/>
  <c r="AX446" i="2"/>
  <c r="AW446" i="2"/>
  <c r="AV446" i="2"/>
  <c r="AT446" i="2"/>
  <c r="AS446" i="2"/>
  <c r="AR446" i="2"/>
  <c r="AQ446" i="2"/>
  <c r="AO446" i="2"/>
  <c r="AN446" i="2"/>
  <c r="AM446" i="2"/>
  <c r="AL446" i="2"/>
  <c r="AK446" i="2"/>
  <c r="AJ446" i="2"/>
  <c r="AI446" i="2"/>
  <c r="AH446" i="2"/>
  <c r="AG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BO445" i="2"/>
  <c r="BN445" i="2"/>
  <c r="BM445" i="2"/>
  <c r="BL445" i="2"/>
  <c r="BK445" i="2"/>
  <c r="BJ445" i="2"/>
  <c r="BI445" i="2"/>
  <c r="BH445" i="2"/>
  <c r="BG445" i="2"/>
  <c r="BF445" i="2"/>
  <c r="BE445" i="2"/>
  <c r="BD445" i="2"/>
  <c r="BC445" i="2"/>
  <c r="BB445" i="2"/>
  <c r="BA445" i="2"/>
  <c r="AZ445" i="2"/>
  <c r="AY445" i="2"/>
  <c r="AX445" i="2"/>
  <c r="AW445" i="2"/>
  <c r="AV445" i="2"/>
  <c r="AT445" i="2"/>
  <c r="AS445" i="2"/>
  <c r="AR445" i="2"/>
  <c r="AQ445" i="2"/>
  <c r="AO445" i="2"/>
  <c r="AN445" i="2"/>
  <c r="AM445" i="2"/>
  <c r="AL445" i="2"/>
  <c r="AK445" i="2"/>
  <c r="AJ445" i="2"/>
  <c r="AI445" i="2"/>
  <c r="AH445" i="2"/>
  <c r="AG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BO444" i="2"/>
  <c r="BN444" i="2"/>
  <c r="BM444" i="2"/>
  <c r="BL444" i="2"/>
  <c r="BK444" i="2"/>
  <c r="BJ444" i="2"/>
  <c r="BI444" i="2"/>
  <c r="BH444" i="2"/>
  <c r="BG444" i="2"/>
  <c r="BF444" i="2"/>
  <c r="BE444" i="2"/>
  <c r="BD444" i="2"/>
  <c r="BC444" i="2"/>
  <c r="BB444" i="2"/>
  <c r="BA444" i="2"/>
  <c r="AZ444" i="2"/>
  <c r="AY444" i="2"/>
  <c r="AX444" i="2"/>
  <c r="AW444" i="2"/>
  <c r="AV444" i="2"/>
  <c r="AT444" i="2"/>
  <c r="AS444" i="2"/>
  <c r="AR444" i="2"/>
  <c r="AQ444" i="2"/>
  <c r="AO444" i="2"/>
  <c r="AN444" i="2"/>
  <c r="AM444" i="2"/>
  <c r="AL444" i="2"/>
  <c r="AK444" i="2"/>
  <c r="AJ444" i="2"/>
  <c r="AI444" i="2"/>
  <c r="AH444" i="2"/>
  <c r="AG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BO443" i="2"/>
  <c r="BN443" i="2"/>
  <c r="BM443" i="2"/>
  <c r="BL443" i="2"/>
  <c r="BK443" i="2"/>
  <c r="BJ443" i="2"/>
  <c r="BI443" i="2"/>
  <c r="BH443" i="2"/>
  <c r="BG443" i="2"/>
  <c r="BF443" i="2"/>
  <c r="BE443" i="2"/>
  <c r="BD443" i="2"/>
  <c r="BC443" i="2"/>
  <c r="BB443" i="2"/>
  <c r="BA443" i="2"/>
  <c r="AZ443" i="2"/>
  <c r="AY443" i="2"/>
  <c r="AX443" i="2"/>
  <c r="AW443" i="2"/>
  <c r="AV443" i="2"/>
  <c r="AT443" i="2"/>
  <c r="AS443" i="2"/>
  <c r="AR443" i="2"/>
  <c r="AQ443" i="2"/>
  <c r="AO443" i="2"/>
  <c r="AN443" i="2"/>
  <c r="AM443" i="2"/>
  <c r="AL443" i="2"/>
  <c r="AK443" i="2"/>
  <c r="AJ443" i="2"/>
  <c r="AI443" i="2"/>
  <c r="AH443" i="2"/>
  <c r="AG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BO442" i="2"/>
  <c r="BN442" i="2"/>
  <c r="BM442" i="2"/>
  <c r="BL442" i="2"/>
  <c r="BK442" i="2"/>
  <c r="BJ442" i="2"/>
  <c r="BI442" i="2"/>
  <c r="BH442" i="2"/>
  <c r="BG442" i="2"/>
  <c r="BF442" i="2"/>
  <c r="BE442" i="2"/>
  <c r="BD442" i="2"/>
  <c r="BC442" i="2"/>
  <c r="BB442" i="2"/>
  <c r="BA442" i="2"/>
  <c r="AZ442" i="2"/>
  <c r="AY442" i="2"/>
  <c r="AX442" i="2"/>
  <c r="AW442" i="2"/>
  <c r="AV442" i="2"/>
  <c r="AT442" i="2"/>
  <c r="AS442" i="2"/>
  <c r="AR442" i="2"/>
  <c r="AQ442" i="2"/>
  <c r="AO442" i="2"/>
  <c r="AN442" i="2"/>
  <c r="AM442" i="2"/>
  <c r="AL442" i="2"/>
  <c r="AK442" i="2"/>
  <c r="AJ442" i="2"/>
  <c r="AI442" i="2"/>
  <c r="AH442" i="2"/>
  <c r="AG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BO441" i="2"/>
  <c r="BN441" i="2"/>
  <c r="BM441" i="2"/>
  <c r="BL441" i="2"/>
  <c r="BK441" i="2"/>
  <c r="BJ441" i="2"/>
  <c r="BI441" i="2"/>
  <c r="BH441" i="2"/>
  <c r="BG441" i="2"/>
  <c r="BF441" i="2"/>
  <c r="BE441" i="2"/>
  <c r="BD441" i="2"/>
  <c r="BC441" i="2"/>
  <c r="BB441" i="2"/>
  <c r="BA441" i="2"/>
  <c r="AZ441" i="2"/>
  <c r="AY441" i="2"/>
  <c r="AX441" i="2"/>
  <c r="AW441" i="2"/>
  <c r="AV441" i="2"/>
  <c r="AT441" i="2"/>
  <c r="AS441" i="2"/>
  <c r="AR441" i="2"/>
  <c r="AQ441" i="2"/>
  <c r="AO441" i="2"/>
  <c r="AN441" i="2"/>
  <c r="AM441" i="2"/>
  <c r="AL441" i="2"/>
  <c r="AK441" i="2"/>
  <c r="AJ441" i="2"/>
  <c r="AI441" i="2"/>
  <c r="AH441" i="2"/>
  <c r="AG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BO440" i="2"/>
  <c r="BN440" i="2"/>
  <c r="BM440" i="2"/>
  <c r="BL440" i="2"/>
  <c r="BK440" i="2"/>
  <c r="BJ440" i="2"/>
  <c r="BI440" i="2"/>
  <c r="BH440" i="2"/>
  <c r="BG440" i="2"/>
  <c r="BF440" i="2"/>
  <c r="BE440" i="2"/>
  <c r="BD440" i="2"/>
  <c r="BC440" i="2"/>
  <c r="BB440" i="2"/>
  <c r="BA440" i="2"/>
  <c r="AZ440" i="2"/>
  <c r="AY440" i="2"/>
  <c r="AX440" i="2"/>
  <c r="AW440" i="2"/>
  <c r="AV440" i="2"/>
  <c r="AT440" i="2"/>
  <c r="AS440" i="2"/>
  <c r="AR440" i="2"/>
  <c r="AQ440" i="2"/>
  <c r="AO440" i="2"/>
  <c r="AN440" i="2"/>
  <c r="AM440" i="2"/>
  <c r="AL440" i="2"/>
  <c r="AK440" i="2"/>
  <c r="AJ440" i="2"/>
  <c r="AI440" i="2"/>
  <c r="AH440" i="2"/>
  <c r="AG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BO439" i="2"/>
  <c r="BN439" i="2"/>
  <c r="BM439" i="2"/>
  <c r="BL439" i="2"/>
  <c r="BK439" i="2"/>
  <c r="BJ439" i="2"/>
  <c r="BI439" i="2"/>
  <c r="BH439" i="2"/>
  <c r="BG439" i="2"/>
  <c r="BF439" i="2"/>
  <c r="BE439" i="2"/>
  <c r="BD439" i="2"/>
  <c r="BC439" i="2"/>
  <c r="BB439" i="2"/>
  <c r="BA439" i="2"/>
  <c r="AZ439" i="2"/>
  <c r="AY439" i="2"/>
  <c r="AX439" i="2"/>
  <c r="AW439" i="2"/>
  <c r="AV439" i="2"/>
  <c r="AT439" i="2"/>
  <c r="AS439" i="2"/>
  <c r="AR439" i="2"/>
  <c r="AQ439" i="2"/>
  <c r="AO439" i="2"/>
  <c r="AN439" i="2"/>
  <c r="AM439" i="2"/>
  <c r="AL439" i="2"/>
  <c r="AK439" i="2"/>
  <c r="AJ439" i="2"/>
  <c r="AI439" i="2"/>
  <c r="AH439" i="2"/>
  <c r="AG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BO438" i="2"/>
  <c r="BN438" i="2"/>
  <c r="BM438" i="2"/>
  <c r="BL438" i="2"/>
  <c r="BK438" i="2"/>
  <c r="BJ438" i="2"/>
  <c r="BI438" i="2"/>
  <c r="BH438" i="2"/>
  <c r="BG438" i="2"/>
  <c r="BF438" i="2"/>
  <c r="BE438" i="2"/>
  <c r="BD438" i="2"/>
  <c r="BC438" i="2"/>
  <c r="BB438" i="2"/>
  <c r="BA438" i="2"/>
  <c r="AZ438" i="2"/>
  <c r="AY438" i="2"/>
  <c r="AX438" i="2"/>
  <c r="AW438" i="2"/>
  <c r="AV438" i="2"/>
  <c r="AT438" i="2"/>
  <c r="AS438" i="2"/>
  <c r="AR438" i="2"/>
  <c r="AQ438" i="2"/>
  <c r="AO438" i="2"/>
  <c r="AN438" i="2"/>
  <c r="AM438" i="2"/>
  <c r="AL438" i="2"/>
  <c r="AK438" i="2"/>
  <c r="AJ438" i="2"/>
  <c r="AI438" i="2"/>
  <c r="AH438" i="2"/>
  <c r="AG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BO437" i="2"/>
  <c r="BN437" i="2"/>
  <c r="BM437" i="2"/>
  <c r="BL437" i="2"/>
  <c r="BK437" i="2"/>
  <c r="BJ437" i="2"/>
  <c r="BI437" i="2"/>
  <c r="BH437" i="2"/>
  <c r="BG437" i="2"/>
  <c r="BF437" i="2"/>
  <c r="BE437" i="2"/>
  <c r="BD437" i="2"/>
  <c r="BC437" i="2"/>
  <c r="BB437" i="2"/>
  <c r="BA437" i="2"/>
  <c r="AZ437" i="2"/>
  <c r="AY437" i="2"/>
  <c r="AX437" i="2"/>
  <c r="AW437" i="2"/>
  <c r="AV437" i="2"/>
  <c r="AT437" i="2"/>
  <c r="AS437" i="2"/>
  <c r="AR437" i="2"/>
  <c r="AQ437" i="2"/>
  <c r="AO437" i="2"/>
  <c r="AN437" i="2"/>
  <c r="AM437" i="2"/>
  <c r="AL437" i="2"/>
  <c r="AK437" i="2"/>
  <c r="AJ437" i="2"/>
  <c r="AI437" i="2"/>
  <c r="AH437" i="2"/>
  <c r="AG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BO436" i="2"/>
  <c r="BN436" i="2"/>
  <c r="BM436" i="2"/>
  <c r="BL436" i="2"/>
  <c r="BK436" i="2"/>
  <c r="BJ436" i="2"/>
  <c r="BI436" i="2"/>
  <c r="BH436" i="2"/>
  <c r="BG436" i="2"/>
  <c r="BF436" i="2"/>
  <c r="BE436" i="2"/>
  <c r="BD436" i="2"/>
  <c r="BC436" i="2"/>
  <c r="BB436" i="2"/>
  <c r="BA436" i="2"/>
  <c r="AZ436" i="2"/>
  <c r="AY436" i="2"/>
  <c r="AX436" i="2"/>
  <c r="AW436" i="2"/>
  <c r="AV436" i="2"/>
  <c r="AT436" i="2"/>
  <c r="AS436" i="2"/>
  <c r="AR436" i="2"/>
  <c r="AQ436" i="2"/>
  <c r="AO436" i="2"/>
  <c r="AN436" i="2"/>
  <c r="AM436" i="2"/>
  <c r="AL436" i="2"/>
  <c r="AK436" i="2"/>
  <c r="AJ436" i="2"/>
  <c r="AI436" i="2"/>
  <c r="AH436" i="2"/>
  <c r="AG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BO435" i="2"/>
  <c r="BN435" i="2"/>
  <c r="BM435" i="2"/>
  <c r="BL435" i="2"/>
  <c r="BK435" i="2"/>
  <c r="BJ435" i="2"/>
  <c r="BI435" i="2"/>
  <c r="BH435" i="2"/>
  <c r="BG435" i="2"/>
  <c r="BF435" i="2"/>
  <c r="BE435" i="2"/>
  <c r="BD435" i="2"/>
  <c r="BC435" i="2"/>
  <c r="BB435" i="2"/>
  <c r="BA435" i="2"/>
  <c r="AZ435" i="2"/>
  <c r="AY435" i="2"/>
  <c r="AX435" i="2"/>
  <c r="AW435" i="2"/>
  <c r="AV435" i="2"/>
  <c r="AT435" i="2"/>
  <c r="AS435" i="2"/>
  <c r="AR435" i="2"/>
  <c r="AQ435" i="2"/>
  <c r="AO435" i="2"/>
  <c r="AN435" i="2"/>
  <c r="AM435" i="2"/>
  <c r="AL435" i="2"/>
  <c r="AK435" i="2"/>
  <c r="AJ435" i="2"/>
  <c r="AI435" i="2"/>
  <c r="AH435" i="2"/>
  <c r="AG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BO434" i="2"/>
  <c r="BN434" i="2"/>
  <c r="BM434" i="2"/>
  <c r="BL434" i="2"/>
  <c r="BK434" i="2"/>
  <c r="BJ434" i="2"/>
  <c r="BI434" i="2"/>
  <c r="BH434" i="2"/>
  <c r="BG434" i="2"/>
  <c r="BF434" i="2"/>
  <c r="BE434" i="2"/>
  <c r="BD434" i="2"/>
  <c r="BC434" i="2"/>
  <c r="BB434" i="2"/>
  <c r="BA434" i="2"/>
  <c r="AZ434" i="2"/>
  <c r="AY434" i="2"/>
  <c r="AX434" i="2"/>
  <c r="AW434" i="2"/>
  <c r="AV434" i="2"/>
  <c r="AT434" i="2"/>
  <c r="AS434" i="2"/>
  <c r="AR434" i="2"/>
  <c r="AQ434" i="2"/>
  <c r="AO434" i="2"/>
  <c r="AN434" i="2"/>
  <c r="AM434" i="2"/>
  <c r="AL434" i="2"/>
  <c r="AK434" i="2"/>
  <c r="AJ434" i="2"/>
  <c r="AI434" i="2"/>
  <c r="AH434" i="2"/>
  <c r="AG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BO433" i="2"/>
  <c r="BN433" i="2"/>
  <c r="BM433" i="2"/>
  <c r="BL433" i="2"/>
  <c r="BK433" i="2"/>
  <c r="BJ433" i="2"/>
  <c r="BI433" i="2"/>
  <c r="BH433" i="2"/>
  <c r="BG433" i="2"/>
  <c r="BF433" i="2"/>
  <c r="BE433" i="2"/>
  <c r="BD433" i="2"/>
  <c r="BC433" i="2"/>
  <c r="BB433" i="2"/>
  <c r="BA433" i="2"/>
  <c r="AZ433" i="2"/>
  <c r="AY433" i="2"/>
  <c r="AX433" i="2"/>
  <c r="AW433" i="2"/>
  <c r="AV433" i="2"/>
  <c r="AT433" i="2"/>
  <c r="AS433" i="2"/>
  <c r="AR433" i="2"/>
  <c r="AQ433" i="2"/>
  <c r="AO433" i="2"/>
  <c r="AN433" i="2"/>
  <c r="AM433" i="2"/>
  <c r="AL433" i="2"/>
  <c r="AK433" i="2"/>
  <c r="AJ433" i="2"/>
  <c r="AI433" i="2"/>
  <c r="AH433" i="2"/>
  <c r="AG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BO432" i="2"/>
  <c r="BN432" i="2"/>
  <c r="BM432" i="2"/>
  <c r="BL432" i="2"/>
  <c r="BK432" i="2"/>
  <c r="BJ432" i="2"/>
  <c r="BI432" i="2"/>
  <c r="BH432" i="2"/>
  <c r="BG432" i="2"/>
  <c r="BF432" i="2"/>
  <c r="BE432" i="2"/>
  <c r="BD432" i="2"/>
  <c r="BC432" i="2"/>
  <c r="BB432" i="2"/>
  <c r="BA432" i="2"/>
  <c r="AZ432" i="2"/>
  <c r="AY432" i="2"/>
  <c r="AX432" i="2"/>
  <c r="AW432" i="2"/>
  <c r="AV432" i="2"/>
  <c r="AT432" i="2"/>
  <c r="AS432" i="2"/>
  <c r="AR432" i="2"/>
  <c r="AQ432" i="2"/>
  <c r="AO432" i="2"/>
  <c r="AN432" i="2"/>
  <c r="AM432" i="2"/>
  <c r="AL432" i="2"/>
  <c r="AK432" i="2"/>
  <c r="AJ432" i="2"/>
  <c r="AI432" i="2"/>
  <c r="AH432" i="2"/>
  <c r="AG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BO431" i="2"/>
  <c r="BN431" i="2"/>
  <c r="BM431" i="2"/>
  <c r="BL431" i="2"/>
  <c r="BK431" i="2"/>
  <c r="BJ431" i="2"/>
  <c r="BI431" i="2"/>
  <c r="BH431" i="2"/>
  <c r="BG431" i="2"/>
  <c r="BF431" i="2"/>
  <c r="BE431" i="2"/>
  <c r="BD431" i="2"/>
  <c r="BC431" i="2"/>
  <c r="BB431" i="2"/>
  <c r="BA431" i="2"/>
  <c r="AZ431" i="2"/>
  <c r="AY431" i="2"/>
  <c r="AX431" i="2"/>
  <c r="AW431" i="2"/>
  <c r="AV431" i="2"/>
  <c r="AT431" i="2"/>
  <c r="AS431" i="2"/>
  <c r="AR431" i="2"/>
  <c r="AQ431" i="2"/>
  <c r="AO431" i="2"/>
  <c r="AN431" i="2"/>
  <c r="AM431" i="2"/>
  <c r="AL431" i="2"/>
  <c r="AK431" i="2"/>
  <c r="AJ431" i="2"/>
  <c r="AI431" i="2"/>
  <c r="AH431" i="2"/>
  <c r="AG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BO430" i="2"/>
  <c r="BN430" i="2"/>
  <c r="BM430" i="2"/>
  <c r="BL430" i="2"/>
  <c r="BK430" i="2"/>
  <c r="BJ430" i="2"/>
  <c r="BI430" i="2"/>
  <c r="BH430" i="2"/>
  <c r="BG430" i="2"/>
  <c r="BF430" i="2"/>
  <c r="BE430" i="2"/>
  <c r="BD430" i="2"/>
  <c r="BC430" i="2"/>
  <c r="BB430" i="2"/>
  <c r="BA430" i="2"/>
  <c r="AZ430" i="2"/>
  <c r="AY430" i="2"/>
  <c r="AX430" i="2"/>
  <c r="AW430" i="2"/>
  <c r="AV430" i="2"/>
  <c r="AT430" i="2"/>
  <c r="AS430" i="2"/>
  <c r="AR430" i="2"/>
  <c r="AQ430" i="2"/>
  <c r="AO430" i="2"/>
  <c r="AN430" i="2"/>
  <c r="AM430" i="2"/>
  <c r="AL430" i="2"/>
  <c r="AK430" i="2"/>
  <c r="AJ430" i="2"/>
  <c r="AI430" i="2"/>
  <c r="AH430" i="2"/>
  <c r="AG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BO429" i="2"/>
  <c r="BN429" i="2"/>
  <c r="BM429" i="2"/>
  <c r="BL429" i="2"/>
  <c r="BK429" i="2"/>
  <c r="BJ429" i="2"/>
  <c r="BI429" i="2"/>
  <c r="BH429" i="2"/>
  <c r="BG429" i="2"/>
  <c r="BF429" i="2"/>
  <c r="BE429" i="2"/>
  <c r="BD429" i="2"/>
  <c r="BC429" i="2"/>
  <c r="BB429" i="2"/>
  <c r="BA429" i="2"/>
  <c r="AZ429" i="2"/>
  <c r="AY429" i="2"/>
  <c r="AX429" i="2"/>
  <c r="AW429" i="2"/>
  <c r="AV429" i="2"/>
  <c r="AT429" i="2"/>
  <c r="AS429" i="2"/>
  <c r="AR429" i="2"/>
  <c r="AQ429" i="2"/>
  <c r="AO429" i="2"/>
  <c r="AN429" i="2"/>
  <c r="AM429" i="2"/>
  <c r="AL429" i="2"/>
  <c r="AK429" i="2"/>
  <c r="AJ429" i="2"/>
  <c r="AI429" i="2"/>
  <c r="AH429" i="2"/>
  <c r="AG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BO428" i="2"/>
  <c r="BN428" i="2"/>
  <c r="BM428" i="2"/>
  <c r="BL428" i="2"/>
  <c r="BK428" i="2"/>
  <c r="BJ428" i="2"/>
  <c r="BI428" i="2"/>
  <c r="BH428" i="2"/>
  <c r="BG428" i="2"/>
  <c r="BF428" i="2"/>
  <c r="BE428" i="2"/>
  <c r="BD428" i="2"/>
  <c r="BC428" i="2"/>
  <c r="BB428" i="2"/>
  <c r="BA428" i="2"/>
  <c r="AZ428" i="2"/>
  <c r="AY428" i="2"/>
  <c r="AX428" i="2"/>
  <c r="AW428" i="2"/>
  <c r="AV428" i="2"/>
  <c r="AT428" i="2"/>
  <c r="AS428" i="2"/>
  <c r="AR428" i="2"/>
  <c r="AQ428" i="2"/>
  <c r="AO428" i="2"/>
  <c r="AN428" i="2"/>
  <c r="AM428" i="2"/>
  <c r="AL428" i="2"/>
  <c r="AK428" i="2"/>
  <c r="AJ428" i="2"/>
  <c r="AI428" i="2"/>
  <c r="AH428" i="2"/>
  <c r="AG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BO427" i="2"/>
  <c r="BN427" i="2"/>
  <c r="BM427" i="2"/>
  <c r="BL427" i="2"/>
  <c r="BK427" i="2"/>
  <c r="BJ427" i="2"/>
  <c r="BI427" i="2"/>
  <c r="BH427" i="2"/>
  <c r="BG427" i="2"/>
  <c r="BF427" i="2"/>
  <c r="BE427" i="2"/>
  <c r="BD427" i="2"/>
  <c r="BC427" i="2"/>
  <c r="BB427" i="2"/>
  <c r="BA427" i="2"/>
  <c r="AZ427" i="2"/>
  <c r="AY427" i="2"/>
  <c r="AX427" i="2"/>
  <c r="AW427" i="2"/>
  <c r="AV427" i="2"/>
  <c r="AT427" i="2"/>
  <c r="AS427" i="2"/>
  <c r="AR427" i="2"/>
  <c r="AQ427" i="2"/>
  <c r="AO427" i="2"/>
  <c r="AN427" i="2"/>
  <c r="AM427" i="2"/>
  <c r="AL427" i="2"/>
  <c r="AK427" i="2"/>
  <c r="AJ427" i="2"/>
  <c r="AI427" i="2"/>
  <c r="AH427" i="2"/>
  <c r="AG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BO426" i="2"/>
  <c r="BN426" i="2"/>
  <c r="BM426" i="2"/>
  <c r="BL426" i="2"/>
  <c r="BK426" i="2"/>
  <c r="BJ426" i="2"/>
  <c r="BI426" i="2"/>
  <c r="BH426" i="2"/>
  <c r="BG426" i="2"/>
  <c r="BF426" i="2"/>
  <c r="BE426" i="2"/>
  <c r="BD426" i="2"/>
  <c r="BC426" i="2"/>
  <c r="BB426" i="2"/>
  <c r="BA426" i="2"/>
  <c r="AZ426" i="2"/>
  <c r="AY426" i="2"/>
  <c r="AX426" i="2"/>
  <c r="AW426" i="2"/>
  <c r="AV426" i="2"/>
  <c r="AT426" i="2"/>
  <c r="AS426" i="2"/>
  <c r="AR426" i="2"/>
  <c r="AQ426" i="2"/>
  <c r="AO426" i="2"/>
  <c r="AN426" i="2"/>
  <c r="AM426" i="2"/>
  <c r="AL426" i="2"/>
  <c r="AK426" i="2"/>
  <c r="AJ426" i="2"/>
  <c r="AI426" i="2"/>
  <c r="AH426" i="2"/>
  <c r="AG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BO425" i="2"/>
  <c r="BN425" i="2"/>
  <c r="BM425" i="2"/>
  <c r="BL425" i="2"/>
  <c r="BK425" i="2"/>
  <c r="BJ425" i="2"/>
  <c r="BI425" i="2"/>
  <c r="BH425" i="2"/>
  <c r="BG425" i="2"/>
  <c r="BF425" i="2"/>
  <c r="BE425" i="2"/>
  <c r="BD425" i="2"/>
  <c r="BC425" i="2"/>
  <c r="BB425" i="2"/>
  <c r="BA425" i="2"/>
  <c r="AZ425" i="2"/>
  <c r="AY425" i="2"/>
  <c r="AX425" i="2"/>
  <c r="AW425" i="2"/>
  <c r="AV425" i="2"/>
  <c r="AT425" i="2"/>
  <c r="AS425" i="2"/>
  <c r="AR425" i="2"/>
  <c r="AQ425" i="2"/>
  <c r="AO425" i="2"/>
  <c r="AN425" i="2"/>
  <c r="AM425" i="2"/>
  <c r="AL425" i="2"/>
  <c r="AK425" i="2"/>
  <c r="AJ425" i="2"/>
  <c r="AI425" i="2"/>
  <c r="AH425" i="2"/>
  <c r="AG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BO424" i="2"/>
  <c r="BN424" i="2"/>
  <c r="BM424" i="2"/>
  <c r="BL424" i="2"/>
  <c r="BK424" i="2"/>
  <c r="BJ424" i="2"/>
  <c r="BI424" i="2"/>
  <c r="BH424" i="2"/>
  <c r="BG424" i="2"/>
  <c r="BF424" i="2"/>
  <c r="BE424" i="2"/>
  <c r="BD424" i="2"/>
  <c r="BC424" i="2"/>
  <c r="BB424" i="2"/>
  <c r="BA424" i="2"/>
  <c r="AZ424" i="2"/>
  <c r="AY424" i="2"/>
  <c r="AX424" i="2"/>
  <c r="AW424" i="2"/>
  <c r="AV424" i="2"/>
  <c r="AT424" i="2"/>
  <c r="AS424" i="2"/>
  <c r="AR424" i="2"/>
  <c r="AQ424" i="2"/>
  <c r="AO424" i="2"/>
  <c r="AN424" i="2"/>
  <c r="AM424" i="2"/>
  <c r="AL424" i="2"/>
  <c r="AK424" i="2"/>
  <c r="AJ424" i="2"/>
  <c r="AI424" i="2"/>
  <c r="AH424" i="2"/>
  <c r="AG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BO423" i="2"/>
  <c r="BN423" i="2"/>
  <c r="BM423" i="2"/>
  <c r="BL423" i="2"/>
  <c r="BK423" i="2"/>
  <c r="BJ423" i="2"/>
  <c r="BI423" i="2"/>
  <c r="BH423" i="2"/>
  <c r="BG423" i="2"/>
  <c r="BF423" i="2"/>
  <c r="BE423" i="2"/>
  <c r="BD423" i="2"/>
  <c r="BC423" i="2"/>
  <c r="BB423" i="2"/>
  <c r="BA423" i="2"/>
  <c r="AZ423" i="2"/>
  <c r="AY423" i="2"/>
  <c r="AX423" i="2"/>
  <c r="AW423" i="2"/>
  <c r="AV423" i="2"/>
  <c r="AT423" i="2"/>
  <c r="AS423" i="2"/>
  <c r="AR423" i="2"/>
  <c r="AQ423" i="2"/>
  <c r="AO423" i="2"/>
  <c r="AN423" i="2"/>
  <c r="AM423" i="2"/>
  <c r="AL423" i="2"/>
  <c r="AK423" i="2"/>
  <c r="AJ423" i="2"/>
  <c r="AI423" i="2"/>
  <c r="AH423" i="2"/>
  <c r="AG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BO422" i="2"/>
  <c r="BN422" i="2"/>
  <c r="BM422" i="2"/>
  <c r="BL422" i="2"/>
  <c r="BK422" i="2"/>
  <c r="BJ422" i="2"/>
  <c r="BI422" i="2"/>
  <c r="BH422" i="2"/>
  <c r="BG422" i="2"/>
  <c r="BF422" i="2"/>
  <c r="BE422" i="2"/>
  <c r="BD422" i="2"/>
  <c r="BC422" i="2"/>
  <c r="BB422" i="2"/>
  <c r="BA422" i="2"/>
  <c r="AZ422" i="2"/>
  <c r="AY422" i="2"/>
  <c r="AX422" i="2"/>
  <c r="AW422" i="2"/>
  <c r="AV422" i="2"/>
  <c r="AT422" i="2"/>
  <c r="AS422" i="2"/>
  <c r="AR422" i="2"/>
  <c r="AQ422" i="2"/>
  <c r="AO422" i="2"/>
  <c r="AN422" i="2"/>
  <c r="AM422" i="2"/>
  <c r="AL422" i="2"/>
  <c r="AK422" i="2"/>
  <c r="AJ422" i="2"/>
  <c r="AI422" i="2"/>
  <c r="AH422" i="2"/>
  <c r="AG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BO421" i="2"/>
  <c r="BN421" i="2"/>
  <c r="BM421" i="2"/>
  <c r="BL421" i="2"/>
  <c r="BK421" i="2"/>
  <c r="BJ421" i="2"/>
  <c r="BI421" i="2"/>
  <c r="BH421" i="2"/>
  <c r="BG421" i="2"/>
  <c r="BF421" i="2"/>
  <c r="BE421" i="2"/>
  <c r="BD421" i="2"/>
  <c r="BC421" i="2"/>
  <c r="BB421" i="2"/>
  <c r="BA421" i="2"/>
  <c r="AZ421" i="2"/>
  <c r="AY421" i="2"/>
  <c r="AX421" i="2"/>
  <c r="AW421" i="2"/>
  <c r="AV421" i="2"/>
  <c r="AT421" i="2"/>
  <c r="AS421" i="2"/>
  <c r="AR421" i="2"/>
  <c r="AQ421" i="2"/>
  <c r="AO421" i="2"/>
  <c r="AN421" i="2"/>
  <c r="AM421" i="2"/>
  <c r="AL421" i="2"/>
  <c r="AK421" i="2"/>
  <c r="AJ421" i="2"/>
  <c r="AI421" i="2"/>
  <c r="AH421" i="2"/>
  <c r="AG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BO420" i="2"/>
  <c r="BN420" i="2"/>
  <c r="BM420" i="2"/>
  <c r="BL420" i="2"/>
  <c r="BK420" i="2"/>
  <c r="BJ420" i="2"/>
  <c r="BI420" i="2"/>
  <c r="BH420" i="2"/>
  <c r="BG420" i="2"/>
  <c r="BF420" i="2"/>
  <c r="BE420" i="2"/>
  <c r="BD420" i="2"/>
  <c r="BC420" i="2"/>
  <c r="BB420" i="2"/>
  <c r="BA420" i="2"/>
  <c r="AZ420" i="2"/>
  <c r="AY420" i="2"/>
  <c r="AX420" i="2"/>
  <c r="AW420" i="2"/>
  <c r="AV420" i="2"/>
  <c r="AT420" i="2"/>
  <c r="AS420" i="2"/>
  <c r="AR420" i="2"/>
  <c r="AQ420" i="2"/>
  <c r="AO420" i="2"/>
  <c r="AN420" i="2"/>
  <c r="AM420" i="2"/>
  <c r="AL420" i="2"/>
  <c r="AK420" i="2"/>
  <c r="AJ420" i="2"/>
  <c r="AI420" i="2"/>
  <c r="AH420" i="2"/>
  <c r="AG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BO419" i="2"/>
  <c r="BN419" i="2"/>
  <c r="BM419" i="2"/>
  <c r="BL419" i="2"/>
  <c r="BK419" i="2"/>
  <c r="BJ419" i="2"/>
  <c r="BI419" i="2"/>
  <c r="BH419" i="2"/>
  <c r="BG419" i="2"/>
  <c r="BF419" i="2"/>
  <c r="BE419" i="2"/>
  <c r="BD419" i="2"/>
  <c r="BC419" i="2"/>
  <c r="BB419" i="2"/>
  <c r="BA419" i="2"/>
  <c r="AZ419" i="2"/>
  <c r="AY419" i="2"/>
  <c r="AX419" i="2"/>
  <c r="AW419" i="2"/>
  <c r="AV419" i="2"/>
  <c r="AT419" i="2"/>
  <c r="AS419" i="2"/>
  <c r="AR419" i="2"/>
  <c r="AQ419" i="2"/>
  <c r="AO419" i="2"/>
  <c r="AN419" i="2"/>
  <c r="AM419" i="2"/>
  <c r="AL419" i="2"/>
  <c r="AK419" i="2"/>
  <c r="AJ419" i="2"/>
  <c r="AI419" i="2"/>
  <c r="AH419" i="2"/>
  <c r="AG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BO418" i="2"/>
  <c r="BN418" i="2"/>
  <c r="BM418" i="2"/>
  <c r="BL418" i="2"/>
  <c r="BK418" i="2"/>
  <c r="BJ418" i="2"/>
  <c r="BI418" i="2"/>
  <c r="BH418" i="2"/>
  <c r="BG418" i="2"/>
  <c r="BF418" i="2"/>
  <c r="BE418" i="2"/>
  <c r="BD418" i="2"/>
  <c r="BC418" i="2"/>
  <c r="BB418" i="2"/>
  <c r="BA418" i="2"/>
  <c r="AZ418" i="2"/>
  <c r="AY418" i="2"/>
  <c r="AX418" i="2"/>
  <c r="AW418" i="2"/>
  <c r="AV418" i="2"/>
  <c r="AT418" i="2"/>
  <c r="AS418" i="2"/>
  <c r="AR418" i="2"/>
  <c r="AQ418" i="2"/>
  <c r="AO418" i="2"/>
  <c r="AN418" i="2"/>
  <c r="AM418" i="2"/>
  <c r="AL418" i="2"/>
  <c r="AK418" i="2"/>
  <c r="AJ418" i="2"/>
  <c r="AI418" i="2"/>
  <c r="AH418" i="2"/>
  <c r="AG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BO417" i="2"/>
  <c r="BN417" i="2"/>
  <c r="BM417" i="2"/>
  <c r="BL417" i="2"/>
  <c r="BK417" i="2"/>
  <c r="BJ417" i="2"/>
  <c r="BI417" i="2"/>
  <c r="BH417" i="2"/>
  <c r="BG417" i="2"/>
  <c r="BF417" i="2"/>
  <c r="BE417" i="2"/>
  <c r="BD417" i="2"/>
  <c r="BC417" i="2"/>
  <c r="BB417" i="2"/>
  <c r="BA417" i="2"/>
  <c r="AZ417" i="2"/>
  <c r="AY417" i="2"/>
  <c r="AX417" i="2"/>
  <c r="AW417" i="2"/>
  <c r="AV417" i="2"/>
  <c r="AT417" i="2"/>
  <c r="AS417" i="2"/>
  <c r="AR417" i="2"/>
  <c r="AQ417" i="2"/>
  <c r="AO417" i="2"/>
  <c r="AN417" i="2"/>
  <c r="AM417" i="2"/>
  <c r="AL417" i="2"/>
  <c r="AK417" i="2"/>
  <c r="AJ417" i="2"/>
  <c r="AI417" i="2"/>
  <c r="AH417" i="2"/>
  <c r="AG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BO416" i="2"/>
  <c r="BN416" i="2"/>
  <c r="BM416" i="2"/>
  <c r="BL416" i="2"/>
  <c r="BK416" i="2"/>
  <c r="BJ416" i="2"/>
  <c r="BI416" i="2"/>
  <c r="BH416" i="2"/>
  <c r="BG416" i="2"/>
  <c r="BF416" i="2"/>
  <c r="BE416" i="2"/>
  <c r="BD416" i="2"/>
  <c r="BC416" i="2"/>
  <c r="BB416" i="2"/>
  <c r="BA416" i="2"/>
  <c r="AZ416" i="2"/>
  <c r="AY416" i="2"/>
  <c r="AX416" i="2"/>
  <c r="AW416" i="2"/>
  <c r="AV416" i="2"/>
  <c r="AT416" i="2"/>
  <c r="AS416" i="2"/>
  <c r="AR416" i="2"/>
  <c r="AQ416" i="2"/>
  <c r="AO416" i="2"/>
  <c r="AN416" i="2"/>
  <c r="AM416" i="2"/>
  <c r="AL416" i="2"/>
  <c r="AK416" i="2"/>
  <c r="AJ416" i="2"/>
  <c r="AI416" i="2"/>
  <c r="AH416" i="2"/>
  <c r="AG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BO415" i="2"/>
  <c r="BN415" i="2"/>
  <c r="BM415" i="2"/>
  <c r="BL415" i="2"/>
  <c r="BK415" i="2"/>
  <c r="BJ415" i="2"/>
  <c r="BI415" i="2"/>
  <c r="BH415" i="2"/>
  <c r="BG415" i="2"/>
  <c r="BF415" i="2"/>
  <c r="BE415" i="2"/>
  <c r="BD415" i="2"/>
  <c r="BC415" i="2"/>
  <c r="BB415" i="2"/>
  <c r="BA415" i="2"/>
  <c r="AZ415" i="2"/>
  <c r="AY415" i="2"/>
  <c r="AX415" i="2"/>
  <c r="AW415" i="2"/>
  <c r="AV415" i="2"/>
  <c r="AT415" i="2"/>
  <c r="AS415" i="2"/>
  <c r="AR415" i="2"/>
  <c r="AQ415" i="2"/>
  <c r="AO415" i="2"/>
  <c r="AN415" i="2"/>
  <c r="AM415" i="2"/>
  <c r="AL415" i="2"/>
  <c r="AK415" i="2"/>
  <c r="AJ415" i="2"/>
  <c r="AI415" i="2"/>
  <c r="AH415" i="2"/>
  <c r="AG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BO414" i="2"/>
  <c r="BN414" i="2"/>
  <c r="BM414" i="2"/>
  <c r="BL414" i="2"/>
  <c r="BK414" i="2"/>
  <c r="BJ414" i="2"/>
  <c r="BI414" i="2"/>
  <c r="BH414" i="2"/>
  <c r="BG414" i="2"/>
  <c r="BF414" i="2"/>
  <c r="BE414" i="2"/>
  <c r="BD414" i="2"/>
  <c r="BC414" i="2"/>
  <c r="BB414" i="2"/>
  <c r="BA414" i="2"/>
  <c r="AZ414" i="2"/>
  <c r="AY414" i="2"/>
  <c r="AX414" i="2"/>
  <c r="AW414" i="2"/>
  <c r="AV414" i="2"/>
  <c r="AT414" i="2"/>
  <c r="AS414" i="2"/>
  <c r="AR414" i="2"/>
  <c r="AQ414" i="2"/>
  <c r="AO414" i="2"/>
  <c r="AN414" i="2"/>
  <c r="AM414" i="2"/>
  <c r="AL414" i="2"/>
  <c r="AK414" i="2"/>
  <c r="AJ414" i="2"/>
  <c r="AI414" i="2"/>
  <c r="AH414" i="2"/>
  <c r="AG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BO413" i="2"/>
  <c r="BN413" i="2"/>
  <c r="BM413" i="2"/>
  <c r="BL413" i="2"/>
  <c r="BK413" i="2"/>
  <c r="BJ413" i="2"/>
  <c r="BI413" i="2"/>
  <c r="BH413" i="2"/>
  <c r="BG413" i="2"/>
  <c r="BF413" i="2"/>
  <c r="BE413" i="2"/>
  <c r="BD413" i="2"/>
  <c r="BC413" i="2"/>
  <c r="BB413" i="2"/>
  <c r="BA413" i="2"/>
  <c r="AZ413" i="2"/>
  <c r="AY413" i="2"/>
  <c r="AX413" i="2"/>
  <c r="AW413" i="2"/>
  <c r="AV413" i="2"/>
  <c r="AT413" i="2"/>
  <c r="AS413" i="2"/>
  <c r="AR413" i="2"/>
  <c r="AQ413" i="2"/>
  <c r="AO413" i="2"/>
  <c r="AN413" i="2"/>
  <c r="AM413" i="2"/>
  <c r="AL413" i="2"/>
  <c r="AK413" i="2"/>
  <c r="AJ413" i="2"/>
  <c r="AI413" i="2"/>
  <c r="AH413" i="2"/>
  <c r="AG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BO412" i="2"/>
  <c r="BN412" i="2"/>
  <c r="BM412" i="2"/>
  <c r="BL412" i="2"/>
  <c r="BK412" i="2"/>
  <c r="BJ412" i="2"/>
  <c r="BI412" i="2"/>
  <c r="BH412" i="2"/>
  <c r="BG412" i="2"/>
  <c r="BF412" i="2"/>
  <c r="BE412" i="2"/>
  <c r="BD412" i="2"/>
  <c r="BC412" i="2"/>
  <c r="BB412" i="2"/>
  <c r="BA412" i="2"/>
  <c r="AZ412" i="2"/>
  <c r="AY412" i="2"/>
  <c r="AX412" i="2"/>
  <c r="AW412" i="2"/>
  <c r="AV412" i="2"/>
  <c r="AT412" i="2"/>
  <c r="AS412" i="2"/>
  <c r="AR412" i="2"/>
  <c r="AQ412" i="2"/>
  <c r="AO412" i="2"/>
  <c r="AN412" i="2"/>
  <c r="AM412" i="2"/>
  <c r="AL412" i="2"/>
  <c r="AK412" i="2"/>
  <c r="AJ412" i="2"/>
  <c r="AI412" i="2"/>
  <c r="AH412" i="2"/>
  <c r="AG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BO411" i="2"/>
  <c r="BN411" i="2"/>
  <c r="BM411" i="2"/>
  <c r="BL411" i="2"/>
  <c r="BK411" i="2"/>
  <c r="BJ411" i="2"/>
  <c r="BI411" i="2"/>
  <c r="BH411" i="2"/>
  <c r="BG411" i="2"/>
  <c r="BF411" i="2"/>
  <c r="BE411" i="2"/>
  <c r="BD411" i="2"/>
  <c r="BC411" i="2"/>
  <c r="BB411" i="2"/>
  <c r="BA411" i="2"/>
  <c r="AZ411" i="2"/>
  <c r="AY411" i="2"/>
  <c r="AX411" i="2"/>
  <c r="AW411" i="2"/>
  <c r="AV411" i="2"/>
  <c r="AT411" i="2"/>
  <c r="AS411" i="2"/>
  <c r="AR411" i="2"/>
  <c r="AQ411" i="2"/>
  <c r="AO411" i="2"/>
  <c r="AN411" i="2"/>
  <c r="AM411" i="2"/>
  <c r="AL411" i="2"/>
  <c r="AK411" i="2"/>
  <c r="AJ411" i="2"/>
  <c r="AI411" i="2"/>
  <c r="AH411" i="2"/>
  <c r="AG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BO410" i="2"/>
  <c r="BN410" i="2"/>
  <c r="BM410" i="2"/>
  <c r="BL410" i="2"/>
  <c r="BK410" i="2"/>
  <c r="BJ410" i="2"/>
  <c r="BI410" i="2"/>
  <c r="BH410" i="2"/>
  <c r="BG410" i="2"/>
  <c r="BF410" i="2"/>
  <c r="BE410" i="2"/>
  <c r="BD410" i="2"/>
  <c r="BC410" i="2"/>
  <c r="BB410" i="2"/>
  <c r="BA410" i="2"/>
  <c r="AZ410" i="2"/>
  <c r="AY410" i="2"/>
  <c r="AX410" i="2"/>
  <c r="AW410" i="2"/>
  <c r="AV410" i="2"/>
  <c r="AT410" i="2"/>
  <c r="AS410" i="2"/>
  <c r="AR410" i="2"/>
  <c r="AQ410" i="2"/>
  <c r="AO410" i="2"/>
  <c r="AN410" i="2"/>
  <c r="AM410" i="2"/>
  <c r="AL410" i="2"/>
  <c r="AK410" i="2"/>
  <c r="AJ410" i="2"/>
  <c r="AI410" i="2"/>
  <c r="AH410" i="2"/>
  <c r="AG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BO409" i="2"/>
  <c r="BN409" i="2"/>
  <c r="BM409" i="2"/>
  <c r="BL409" i="2"/>
  <c r="BK409" i="2"/>
  <c r="BJ409" i="2"/>
  <c r="BI409" i="2"/>
  <c r="BH409" i="2"/>
  <c r="BG409" i="2"/>
  <c r="BF409" i="2"/>
  <c r="BE409" i="2"/>
  <c r="BD409" i="2"/>
  <c r="BC409" i="2"/>
  <c r="BB409" i="2"/>
  <c r="BA409" i="2"/>
  <c r="AZ409" i="2"/>
  <c r="AY409" i="2"/>
  <c r="AX409" i="2"/>
  <c r="AW409" i="2"/>
  <c r="AV409" i="2"/>
  <c r="AT409" i="2"/>
  <c r="AS409" i="2"/>
  <c r="AR409" i="2"/>
  <c r="AQ409" i="2"/>
  <c r="AO409" i="2"/>
  <c r="AN409" i="2"/>
  <c r="AM409" i="2"/>
  <c r="AL409" i="2"/>
  <c r="AK409" i="2"/>
  <c r="AJ409" i="2"/>
  <c r="AI409" i="2"/>
  <c r="AH409" i="2"/>
  <c r="AG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BO408" i="2"/>
  <c r="BN408" i="2"/>
  <c r="BM408" i="2"/>
  <c r="BL408" i="2"/>
  <c r="BK408" i="2"/>
  <c r="BJ408" i="2"/>
  <c r="BI408" i="2"/>
  <c r="BH408" i="2"/>
  <c r="BG408" i="2"/>
  <c r="BF408" i="2"/>
  <c r="BE408" i="2"/>
  <c r="BD408" i="2"/>
  <c r="BC408" i="2"/>
  <c r="BB408" i="2"/>
  <c r="BA408" i="2"/>
  <c r="AZ408" i="2"/>
  <c r="AY408" i="2"/>
  <c r="AX408" i="2"/>
  <c r="AW408" i="2"/>
  <c r="AV408" i="2"/>
  <c r="AT408" i="2"/>
  <c r="AS408" i="2"/>
  <c r="AR408" i="2"/>
  <c r="AQ408" i="2"/>
  <c r="AO408" i="2"/>
  <c r="AN408" i="2"/>
  <c r="AM408" i="2"/>
  <c r="AL408" i="2"/>
  <c r="AK408" i="2"/>
  <c r="AJ408" i="2"/>
  <c r="AI408" i="2"/>
  <c r="AH408" i="2"/>
  <c r="AG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BO407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T407" i="2"/>
  <c r="AS407" i="2"/>
  <c r="AR407" i="2"/>
  <c r="AQ407" i="2"/>
  <c r="AO407" i="2"/>
  <c r="AN407" i="2"/>
  <c r="AM407" i="2"/>
  <c r="AL407" i="2"/>
  <c r="AK407" i="2"/>
  <c r="AJ407" i="2"/>
  <c r="AI407" i="2"/>
  <c r="AH407" i="2"/>
  <c r="AG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BO406" i="2"/>
  <c r="BN406" i="2"/>
  <c r="BM406" i="2"/>
  <c r="BL406" i="2"/>
  <c r="BK406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V406" i="2"/>
  <c r="AT406" i="2"/>
  <c r="AS406" i="2"/>
  <c r="AR406" i="2"/>
  <c r="AQ406" i="2"/>
  <c r="AO406" i="2"/>
  <c r="AN406" i="2"/>
  <c r="AM406" i="2"/>
  <c r="AL406" i="2"/>
  <c r="AK406" i="2"/>
  <c r="AJ406" i="2"/>
  <c r="AI406" i="2"/>
  <c r="AH406" i="2"/>
  <c r="AG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BO405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T405" i="2"/>
  <c r="AS405" i="2"/>
  <c r="AR405" i="2"/>
  <c r="AQ405" i="2"/>
  <c r="AO405" i="2"/>
  <c r="AN405" i="2"/>
  <c r="AM405" i="2"/>
  <c r="AL405" i="2"/>
  <c r="AK405" i="2"/>
  <c r="AJ405" i="2"/>
  <c r="AI405" i="2"/>
  <c r="AH405" i="2"/>
  <c r="AG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BO404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T404" i="2"/>
  <c r="AS404" i="2"/>
  <c r="AR404" i="2"/>
  <c r="AQ404" i="2"/>
  <c r="AO404" i="2"/>
  <c r="AN404" i="2"/>
  <c r="AM404" i="2"/>
  <c r="AL404" i="2"/>
  <c r="AK404" i="2"/>
  <c r="AJ404" i="2"/>
  <c r="AI404" i="2"/>
  <c r="AH404" i="2"/>
  <c r="AG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BO403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T403" i="2"/>
  <c r="AS403" i="2"/>
  <c r="AR403" i="2"/>
  <c r="AQ403" i="2"/>
  <c r="AO403" i="2"/>
  <c r="AN403" i="2"/>
  <c r="AM403" i="2"/>
  <c r="AL403" i="2"/>
  <c r="AK403" i="2"/>
  <c r="AJ403" i="2"/>
  <c r="AI403" i="2"/>
  <c r="AH403" i="2"/>
  <c r="AG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BO402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T402" i="2"/>
  <c r="AS402" i="2"/>
  <c r="AR402" i="2"/>
  <c r="AQ402" i="2"/>
  <c r="AO402" i="2"/>
  <c r="AN402" i="2"/>
  <c r="AM402" i="2"/>
  <c r="AL402" i="2"/>
  <c r="AK402" i="2"/>
  <c r="AJ402" i="2"/>
  <c r="AI402" i="2"/>
  <c r="AH402" i="2"/>
  <c r="AG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BO401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T401" i="2"/>
  <c r="AS401" i="2"/>
  <c r="AR401" i="2"/>
  <c r="AQ401" i="2"/>
  <c r="AO401" i="2"/>
  <c r="AN401" i="2"/>
  <c r="AM401" i="2"/>
  <c r="AL401" i="2"/>
  <c r="AK401" i="2"/>
  <c r="AJ401" i="2"/>
  <c r="AI401" i="2"/>
  <c r="AH401" i="2"/>
  <c r="AG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BO400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T400" i="2"/>
  <c r="AS400" i="2"/>
  <c r="AR400" i="2"/>
  <c r="AQ400" i="2"/>
  <c r="AO400" i="2"/>
  <c r="AN400" i="2"/>
  <c r="AM400" i="2"/>
  <c r="AL400" i="2"/>
  <c r="AK400" i="2"/>
  <c r="AJ400" i="2"/>
  <c r="AI400" i="2"/>
  <c r="AH400" i="2"/>
  <c r="AG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BO399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T399" i="2"/>
  <c r="AS399" i="2"/>
  <c r="AR399" i="2"/>
  <c r="AQ399" i="2"/>
  <c r="AO399" i="2"/>
  <c r="AN399" i="2"/>
  <c r="AM399" i="2"/>
  <c r="AL399" i="2"/>
  <c r="AK399" i="2"/>
  <c r="AJ399" i="2"/>
  <c r="AI399" i="2"/>
  <c r="AH399" i="2"/>
  <c r="AG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BO398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T398" i="2"/>
  <c r="AS398" i="2"/>
  <c r="AR398" i="2"/>
  <c r="AQ398" i="2"/>
  <c r="AO398" i="2"/>
  <c r="AN398" i="2"/>
  <c r="AM398" i="2"/>
  <c r="AL398" i="2"/>
  <c r="AK398" i="2"/>
  <c r="AJ398" i="2"/>
  <c r="AI398" i="2"/>
  <c r="AH398" i="2"/>
  <c r="AG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BO397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T397" i="2"/>
  <c r="AS397" i="2"/>
  <c r="AR397" i="2"/>
  <c r="AQ397" i="2"/>
  <c r="AO397" i="2"/>
  <c r="AN397" i="2"/>
  <c r="AM397" i="2"/>
  <c r="AL397" i="2"/>
  <c r="AK397" i="2"/>
  <c r="AJ397" i="2"/>
  <c r="AI397" i="2"/>
  <c r="AH397" i="2"/>
  <c r="AG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BO396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T396" i="2"/>
  <c r="AS396" i="2"/>
  <c r="AR396" i="2"/>
  <c r="AQ396" i="2"/>
  <c r="AO396" i="2"/>
  <c r="AN396" i="2"/>
  <c r="AM396" i="2"/>
  <c r="AL396" i="2"/>
  <c r="AK396" i="2"/>
  <c r="AJ396" i="2"/>
  <c r="AI396" i="2"/>
  <c r="AH396" i="2"/>
  <c r="AG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BO395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T395" i="2"/>
  <c r="AS395" i="2"/>
  <c r="AR395" i="2"/>
  <c r="AQ395" i="2"/>
  <c r="AO395" i="2"/>
  <c r="AN395" i="2"/>
  <c r="AM395" i="2"/>
  <c r="AL395" i="2"/>
  <c r="AK395" i="2"/>
  <c r="AJ395" i="2"/>
  <c r="AI395" i="2"/>
  <c r="AH395" i="2"/>
  <c r="AG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T394" i="2"/>
  <c r="AS394" i="2"/>
  <c r="AR394" i="2"/>
  <c r="AQ394" i="2"/>
  <c r="AO394" i="2"/>
  <c r="AN394" i="2"/>
  <c r="AM394" i="2"/>
  <c r="AL394" i="2"/>
  <c r="AK394" i="2"/>
  <c r="AJ394" i="2"/>
  <c r="AI394" i="2"/>
  <c r="AH394" i="2"/>
  <c r="AG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BO393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T393" i="2"/>
  <c r="AS393" i="2"/>
  <c r="AR393" i="2"/>
  <c r="AQ393" i="2"/>
  <c r="AO393" i="2"/>
  <c r="AN393" i="2"/>
  <c r="AM393" i="2"/>
  <c r="AL393" i="2"/>
  <c r="AK393" i="2"/>
  <c r="AJ393" i="2"/>
  <c r="AI393" i="2"/>
  <c r="AH393" i="2"/>
  <c r="AG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BO392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T392" i="2"/>
  <c r="AS392" i="2"/>
  <c r="AR392" i="2"/>
  <c r="AQ392" i="2"/>
  <c r="AO392" i="2"/>
  <c r="AN392" i="2"/>
  <c r="AM392" i="2"/>
  <c r="AL392" i="2"/>
  <c r="AK392" i="2"/>
  <c r="AJ392" i="2"/>
  <c r="AI392" i="2"/>
  <c r="AH392" i="2"/>
  <c r="AG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T391" i="2"/>
  <c r="AS391" i="2"/>
  <c r="AR391" i="2"/>
  <c r="AQ391" i="2"/>
  <c r="AO391" i="2"/>
  <c r="AN391" i="2"/>
  <c r="AM391" i="2"/>
  <c r="AL391" i="2"/>
  <c r="AK391" i="2"/>
  <c r="AJ391" i="2"/>
  <c r="AI391" i="2"/>
  <c r="AH391" i="2"/>
  <c r="AG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BO390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T390" i="2"/>
  <c r="AS390" i="2"/>
  <c r="AR390" i="2"/>
  <c r="AQ390" i="2"/>
  <c r="AO390" i="2"/>
  <c r="AN390" i="2"/>
  <c r="AM390" i="2"/>
  <c r="AL390" i="2"/>
  <c r="AK390" i="2"/>
  <c r="AJ390" i="2"/>
  <c r="AI390" i="2"/>
  <c r="AH390" i="2"/>
  <c r="AG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BO389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T389" i="2"/>
  <c r="AS389" i="2"/>
  <c r="AR389" i="2"/>
  <c r="AQ389" i="2"/>
  <c r="AO389" i="2"/>
  <c r="AN389" i="2"/>
  <c r="AM389" i="2"/>
  <c r="AL389" i="2"/>
  <c r="AK389" i="2"/>
  <c r="AJ389" i="2"/>
  <c r="AI389" i="2"/>
  <c r="AH389" i="2"/>
  <c r="AG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T388" i="2"/>
  <c r="AS388" i="2"/>
  <c r="AR388" i="2"/>
  <c r="AQ388" i="2"/>
  <c r="AO388" i="2"/>
  <c r="AN388" i="2"/>
  <c r="AM388" i="2"/>
  <c r="AL388" i="2"/>
  <c r="AK388" i="2"/>
  <c r="AJ388" i="2"/>
  <c r="AI388" i="2"/>
  <c r="AH388" i="2"/>
  <c r="AG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BO387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T387" i="2"/>
  <c r="AS387" i="2"/>
  <c r="AR387" i="2"/>
  <c r="AQ387" i="2"/>
  <c r="AO387" i="2"/>
  <c r="AN387" i="2"/>
  <c r="AM387" i="2"/>
  <c r="AL387" i="2"/>
  <c r="AK387" i="2"/>
  <c r="AJ387" i="2"/>
  <c r="AI387" i="2"/>
  <c r="AH387" i="2"/>
  <c r="AG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BO386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T386" i="2"/>
  <c r="AS386" i="2"/>
  <c r="AR386" i="2"/>
  <c r="AQ386" i="2"/>
  <c r="AO386" i="2"/>
  <c r="AN386" i="2"/>
  <c r="AM386" i="2"/>
  <c r="AL386" i="2"/>
  <c r="AK386" i="2"/>
  <c r="AJ386" i="2"/>
  <c r="AI386" i="2"/>
  <c r="AH386" i="2"/>
  <c r="AG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T385" i="2"/>
  <c r="AS385" i="2"/>
  <c r="AR385" i="2"/>
  <c r="AQ385" i="2"/>
  <c r="AO385" i="2"/>
  <c r="AN385" i="2"/>
  <c r="AM385" i="2"/>
  <c r="AL385" i="2"/>
  <c r="AK385" i="2"/>
  <c r="AJ385" i="2"/>
  <c r="AI385" i="2"/>
  <c r="AH385" i="2"/>
  <c r="AG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BO384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T384" i="2"/>
  <c r="AS384" i="2"/>
  <c r="AR384" i="2"/>
  <c r="AQ384" i="2"/>
  <c r="AO384" i="2"/>
  <c r="AN384" i="2"/>
  <c r="AM384" i="2"/>
  <c r="AL384" i="2"/>
  <c r="AK384" i="2"/>
  <c r="AJ384" i="2"/>
  <c r="AI384" i="2"/>
  <c r="AH384" i="2"/>
  <c r="AG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BO383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T383" i="2"/>
  <c r="AS383" i="2"/>
  <c r="AR383" i="2"/>
  <c r="AQ383" i="2"/>
  <c r="AO383" i="2"/>
  <c r="AN383" i="2"/>
  <c r="AM383" i="2"/>
  <c r="AL383" i="2"/>
  <c r="AK383" i="2"/>
  <c r="AJ383" i="2"/>
  <c r="AI383" i="2"/>
  <c r="AH383" i="2"/>
  <c r="AG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T382" i="2"/>
  <c r="AS382" i="2"/>
  <c r="AR382" i="2"/>
  <c r="AQ382" i="2"/>
  <c r="AO382" i="2"/>
  <c r="AN382" i="2"/>
  <c r="AM382" i="2"/>
  <c r="AL382" i="2"/>
  <c r="AK382" i="2"/>
  <c r="AJ382" i="2"/>
  <c r="AI382" i="2"/>
  <c r="AH382" i="2"/>
  <c r="AG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BO381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T381" i="2"/>
  <c r="AS381" i="2"/>
  <c r="AR381" i="2"/>
  <c r="AQ381" i="2"/>
  <c r="AO381" i="2"/>
  <c r="AN381" i="2"/>
  <c r="AM381" i="2"/>
  <c r="AL381" i="2"/>
  <c r="AK381" i="2"/>
  <c r="AJ381" i="2"/>
  <c r="AI381" i="2"/>
  <c r="AH381" i="2"/>
  <c r="AG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BO380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T380" i="2"/>
  <c r="AS380" i="2"/>
  <c r="AR380" i="2"/>
  <c r="AQ380" i="2"/>
  <c r="AO380" i="2"/>
  <c r="AN380" i="2"/>
  <c r="AM380" i="2"/>
  <c r="AL380" i="2"/>
  <c r="AK380" i="2"/>
  <c r="AJ380" i="2"/>
  <c r="AI380" i="2"/>
  <c r="AH380" i="2"/>
  <c r="AG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BO379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T379" i="2"/>
  <c r="AS379" i="2"/>
  <c r="AR379" i="2"/>
  <c r="AQ379" i="2"/>
  <c r="AO379" i="2"/>
  <c r="AN379" i="2"/>
  <c r="AM379" i="2"/>
  <c r="AL379" i="2"/>
  <c r="AK379" i="2"/>
  <c r="AJ379" i="2"/>
  <c r="AI379" i="2"/>
  <c r="AH379" i="2"/>
  <c r="AG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BO378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T378" i="2"/>
  <c r="AS378" i="2"/>
  <c r="AR378" i="2"/>
  <c r="AQ378" i="2"/>
  <c r="AO378" i="2"/>
  <c r="AN378" i="2"/>
  <c r="AM378" i="2"/>
  <c r="AL378" i="2"/>
  <c r="AK378" i="2"/>
  <c r="AJ378" i="2"/>
  <c r="AI378" i="2"/>
  <c r="AH378" i="2"/>
  <c r="AG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BO377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T377" i="2"/>
  <c r="AS377" i="2"/>
  <c r="AR377" i="2"/>
  <c r="AQ377" i="2"/>
  <c r="AO377" i="2"/>
  <c r="AN377" i="2"/>
  <c r="AM377" i="2"/>
  <c r="AL377" i="2"/>
  <c r="AK377" i="2"/>
  <c r="AJ377" i="2"/>
  <c r="AI377" i="2"/>
  <c r="AH377" i="2"/>
  <c r="AG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BO376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T376" i="2"/>
  <c r="AS376" i="2"/>
  <c r="AR376" i="2"/>
  <c r="AQ376" i="2"/>
  <c r="AO376" i="2"/>
  <c r="AN376" i="2"/>
  <c r="AM376" i="2"/>
  <c r="AL376" i="2"/>
  <c r="AK376" i="2"/>
  <c r="AJ376" i="2"/>
  <c r="AI376" i="2"/>
  <c r="AH376" i="2"/>
  <c r="AG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BO375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T375" i="2"/>
  <c r="AS375" i="2"/>
  <c r="AR375" i="2"/>
  <c r="AQ375" i="2"/>
  <c r="AO375" i="2"/>
  <c r="AN375" i="2"/>
  <c r="AM375" i="2"/>
  <c r="AL375" i="2"/>
  <c r="AK375" i="2"/>
  <c r="AJ375" i="2"/>
  <c r="AI375" i="2"/>
  <c r="AH375" i="2"/>
  <c r="AG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BO374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T374" i="2"/>
  <c r="AS374" i="2"/>
  <c r="AR374" i="2"/>
  <c r="AQ374" i="2"/>
  <c r="AO374" i="2"/>
  <c r="AN374" i="2"/>
  <c r="AM374" i="2"/>
  <c r="AL374" i="2"/>
  <c r="AK374" i="2"/>
  <c r="AJ374" i="2"/>
  <c r="AI374" i="2"/>
  <c r="AH374" i="2"/>
  <c r="AG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BO373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T373" i="2"/>
  <c r="AS373" i="2"/>
  <c r="AR373" i="2"/>
  <c r="AQ373" i="2"/>
  <c r="AO373" i="2"/>
  <c r="AN373" i="2"/>
  <c r="AM373" i="2"/>
  <c r="AL373" i="2"/>
  <c r="AK373" i="2"/>
  <c r="AJ373" i="2"/>
  <c r="AI373" i="2"/>
  <c r="AH373" i="2"/>
  <c r="AG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T372" i="2"/>
  <c r="AS372" i="2"/>
  <c r="AR372" i="2"/>
  <c r="AQ372" i="2"/>
  <c r="AO372" i="2"/>
  <c r="AN372" i="2"/>
  <c r="AM372" i="2"/>
  <c r="AL372" i="2"/>
  <c r="AK372" i="2"/>
  <c r="AJ372" i="2"/>
  <c r="AI372" i="2"/>
  <c r="AH372" i="2"/>
  <c r="AG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BO371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T371" i="2"/>
  <c r="AS371" i="2"/>
  <c r="AR371" i="2"/>
  <c r="AQ371" i="2"/>
  <c r="AO371" i="2"/>
  <c r="AN371" i="2"/>
  <c r="AM371" i="2"/>
  <c r="AL371" i="2"/>
  <c r="AK371" i="2"/>
  <c r="AJ371" i="2"/>
  <c r="AI371" i="2"/>
  <c r="AH371" i="2"/>
  <c r="AG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BO370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T370" i="2"/>
  <c r="AS370" i="2"/>
  <c r="AR370" i="2"/>
  <c r="AQ370" i="2"/>
  <c r="AO370" i="2"/>
  <c r="AN370" i="2"/>
  <c r="AM370" i="2"/>
  <c r="AL370" i="2"/>
  <c r="AK370" i="2"/>
  <c r="AJ370" i="2"/>
  <c r="AI370" i="2"/>
  <c r="AH370" i="2"/>
  <c r="AG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T369" i="2"/>
  <c r="AS369" i="2"/>
  <c r="AR369" i="2"/>
  <c r="AQ369" i="2"/>
  <c r="AO369" i="2"/>
  <c r="AN369" i="2"/>
  <c r="AM369" i="2"/>
  <c r="AL369" i="2"/>
  <c r="AK369" i="2"/>
  <c r="AJ369" i="2"/>
  <c r="AI369" i="2"/>
  <c r="AH369" i="2"/>
  <c r="AG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BO368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T368" i="2"/>
  <c r="AS368" i="2"/>
  <c r="AR368" i="2"/>
  <c r="AQ368" i="2"/>
  <c r="AO368" i="2"/>
  <c r="AN368" i="2"/>
  <c r="AM368" i="2"/>
  <c r="AL368" i="2"/>
  <c r="AK368" i="2"/>
  <c r="AJ368" i="2"/>
  <c r="AI368" i="2"/>
  <c r="AH368" i="2"/>
  <c r="AG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BO367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T367" i="2"/>
  <c r="AS367" i="2"/>
  <c r="AR367" i="2"/>
  <c r="AQ367" i="2"/>
  <c r="AO367" i="2"/>
  <c r="AN367" i="2"/>
  <c r="AM367" i="2"/>
  <c r="AL367" i="2"/>
  <c r="AK367" i="2"/>
  <c r="AJ367" i="2"/>
  <c r="AI367" i="2"/>
  <c r="AH367" i="2"/>
  <c r="AG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T366" i="2"/>
  <c r="AS366" i="2"/>
  <c r="AR366" i="2"/>
  <c r="AQ366" i="2"/>
  <c r="AO366" i="2"/>
  <c r="AN366" i="2"/>
  <c r="AM366" i="2"/>
  <c r="AL366" i="2"/>
  <c r="AK366" i="2"/>
  <c r="AJ366" i="2"/>
  <c r="AI366" i="2"/>
  <c r="AH366" i="2"/>
  <c r="AG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BO365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T365" i="2"/>
  <c r="AS365" i="2"/>
  <c r="AR365" i="2"/>
  <c r="AQ365" i="2"/>
  <c r="AO365" i="2"/>
  <c r="AN365" i="2"/>
  <c r="AM365" i="2"/>
  <c r="AL365" i="2"/>
  <c r="AK365" i="2"/>
  <c r="AJ365" i="2"/>
  <c r="AI365" i="2"/>
  <c r="AH365" i="2"/>
  <c r="AG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T364" i="2"/>
  <c r="AS364" i="2"/>
  <c r="AR364" i="2"/>
  <c r="AQ364" i="2"/>
  <c r="AO364" i="2"/>
  <c r="AN364" i="2"/>
  <c r="AM364" i="2"/>
  <c r="AL364" i="2"/>
  <c r="AK364" i="2"/>
  <c r="AJ364" i="2"/>
  <c r="AI364" i="2"/>
  <c r="AH364" i="2"/>
  <c r="AG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T363" i="2"/>
  <c r="AS363" i="2"/>
  <c r="AR363" i="2"/>
  <c r="AQ363" i="2"/>
  <c r="AO363" i="2"/>
  <c r="AN363" i="2"/>
  <c r="AM363" i="2"/>
  <c r="AL363" i="2"/>
  <c r="AK363" i="2"/>
  <c r="AJ363" i="2"/>
  <c r="AI363" i="2"/>
  <c r="AH363" i="2"/>
  <c r="AG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BO362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T362" i="2"/>
  <c r="AS362" i="2"/>
  <c r="AR362" i="2"/>
  <c r="AQ362" i="2"/>
  <c r="AO362" i="2"/>
  <c r="AN362" i="2"/>
  <c r="AM362" i="2"/>
  <c r="AL362" i="2"/>
  <c r="AK362" i="2"/>
  <c r="AJ362" i="2"/>
  <c r="AI362" i="2"/>
  <c r="AH362" i="2"/>
  <c r="AG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T361" i="2"/>
  <c r="AS361" i="2"/>
  <c r="AR361" i="2"/>
  <c r="AQ361" i="2"/>
  <c r="AO361" i="2"/>
  <c r="AN361" i="2"/>
  <c r="AM361" i="2"/>
  <c r="AL361" i="2"/>
  <c r="AK361" i="2"/>
  <c r="AJ361" i="2"/>
  <c r="AI361" i="2"/>
  <c r="AH361" i="2"/>
  <c r="AG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T360" i="2"/>
  <c r="AS360" i="2"/>
  <c r="AR360" i="2"/>
  <c r="AQ360" i="2"/>
  <c r="AO360" i="2"/>
  <c r="AN360" i="2"/>
  <c r="AM360" i="2"/>
  <c r="AL360" i="2"/>
  <c r="AK360" i="2"/>
  <c r="AJ360" i="2"/>
  <c r="AI360" i="2"/>
  <c r="AH360" i="2"/>
  <c r="AG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T359" i="2"/>
  <c r="AS359" i="2"/>
  <c r="AR359" i="2"/>
  <c r="AQ359" i="2"/>
  <c r="AO359" i="2"/>
  <c r="AN359" i="2"/>
  <c r="AM359" i="2"/>
  <c r="AL359" i="2"/>
  <c r="AK359" i="2"/>
  <c r="AJ359" i="2"/>
  <c r="AI359" i="2"/>
  <c r="AH359" i="2"/>
  <c r="AG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T358" i="2"/>
  <c r="AS358" i="2"/>
  <c r="AR358" i="2"/>
  <c r="AQ358" i="2"/>
  <c r="AO358" i="2"/>
  <c r="AN358" i="2"/>
  <c r="AM358" i="2"/>
  <c r="AL358" i="2"/>
  <c r="AK358" i="2"/>
  <c r="AJ358" i="2"/>
  <c r="AI358" i="2"/>
  <c r="AH358" i="2"/>
  <c r="AG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T357" i="2"/>
  <c r="AS357" i="2"/>
  <c r="AR357" i="2"/>
  <c r="AQ357" i="2"/>
  <c r="AO357" i="2"/>
  <c r="AN357" i="2"/>
  <c r="AM357" i="2"/>
  <c r="AL357" i="2"/>
  <c r="AK357" i="2"/>
  <c r="AJ357" i="2"/>
  <c r="AI357" i="2"/>
  <c r="AH357" i="2"/>
  <c r="AG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T356" i="2"/>
  <c r="AS356" i="2"/>
  <c r="AR356" i="2"/>
  <c r="AQ356" i="2"/>
  <c r="AO356" i="2"/>
  <c r="AN356" i="2"/>
  <c r="AM356" i="2"/>
  <c r="AL356" i="2"/>
  <c r="AK356" i="2"/>
  <c r="AJ356" i="2"/>
  <c r="AI356" i="2"/>
  <c r="AH356" i="2"/>
  <c r="AG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T355" i="2"/>
  <c r="AS355" i="2"/>
  <c r="AR355" i="2"/>
  <c r="AQ355" i="2"/>
  <c r="AO355" i="2"/>
  <c r="AN355" i="2"/>
  <c r="AM355" i="2"/>
  <c r="AL355" i="2"/>
  <c r="AK355" i="2"/>
  <c r="AJ355" i="2"/>
  <c r="AI355" i="2"/>
  <c r="AH355" i="2"/>
  <c r="AG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T354" i="2"/>
  <c r="AS354" i="2"/>
  <c r="AR354" i="2"/>
  <c r="AQ354" i="2"/>
  <c r="AO354" i="2"/>
  <c r="AN354" i="2"/>
  <c r="AM354" i="2"/>
  <c r="AL354" i="2"/>
  <c r="AK354" i="2"/>
  <c r="AJ354" i="2"/>
  <c r="AI354" i="2"/>
  <c r="AH354" i="2"/>
  <c r="AG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T353" i="2"/>
  <c r="AS353" i="2"/>
  <c r="AR353" i="2"/>
  <c r="AQ353" i="2"/>
  <c r="AO353" i="2"/>
  <c r="AN353" i="2"/>
  <c r="AM353" i="2"/>
  <c r="AL353" i="2"/>
  <c r="AK353" i="2"/>
  <c r="AJ353" i="2"/>
  <c r="AI353" i="2"/>
  <c r="AH353" i="2"/>
  <c r="AG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T352" i="2"/>
  <c r="AS352" i="2"/>
  <c r="AR352" i="2"/>
  <c r="AQ352" i="2"/>
  <c r="AO352" i="2"/>
  <c r="AN352" i="2"/>
  <c r="AM352" i="2"/>
  <c r="AL352" i="2"/>
  <c r="AK352" i="2"/>
  <c r="AJ352" i="2"/>
  <c r="AI352" i="2"/>
  <c r="AH352" i="2"/>
  <c r="AG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T351" i="2"/>
  <c r="AS351" i="2"/>
  <c r="AR351" i="2"/>
  <c r="AQ351" i="2"/>
  <c r="AO351" i="2"/>
  <c r="AN351" i="2"/>
  <c r="AM351" i="2"/>
  <c r="AL351" i="2"/>
  <c r="AK351" i="2"/>
  <c r="AJ351" i="2"/>
  <c r="AI351" i="2"/>
  <c r="AH351" i="2"/>
  <c r="AG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T350" i="2"/>
  <c r="AS350" i="2"/>
  <c r="AR350" i="2"/>
  <c r="AQ350" i="2"/>
  <c r="AO350" i="2"/>
  <c r="AN350" i="2"/>
  <c r="AM350" i="2"/>
  <c r="AL350" i="2"/>
  <c r="AK350" i="2"/>
  <c r="AJ350" i="2"/>
  <c r="AI350" i="2"/>
  <c r="AH350" i="2"/>
  <c r="AG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T349" i="2"/>
  <c r="AS349" i="2"/>
  <c r="AR349" i="2"/>
  <c r="AQ349" i="2"/>
  <c r="AO349" i="2"/>
  <c r="AN349" i="2"/>
  <c r="AM349" i="2"/>
  <c r="AL349" i="2"/>
  <c r="AK349" i="2"/>
  <c r="AJ349" i="2"/>
  <c r="AI349" i="2"/>
  <c r="AH349" i="2"/>
  <c r="AG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T348" i="2"/>
  <c r="AS348" i="2"/>
  <c r="AR348" i="2"/>
  <c r="AQ348" i="2"/>
  <c r="AO348" i="2"/>
  <c r="AN348" i="2"/>
  <c r="AM348" i="2"/>
  <c r="AL348" i="2"/>
  <c r="AK348" i="2"/>
  <c r="AJ348" i="2"/>
  <c r="AI348" i="2"/>
  <c r="AH348" i="2"/>
  <c r="AG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T347" i="2"/>
  <c r="AS347" i="2"/>
  <c r="AR347" i="2"/>
  <c r="AQ347" i="2"/>
  <c r="AO347" i="2"/>
  <c r="AN347" i="2"/>
  <c r="AM347" i="2"/>
  <c r="AL347" i="2"/>
  <c r="AK347" i="2"/>
  <c r="AJ347" i="2"/>
  <c r="AI347" i="2"/>
  <c r="AH347" i="2"/>
  <c r="AG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T346" i="2"/>
  <c r="AS346" i="2"/>
  <c r="AR346" i="2"/>
  <c r="AQ346" i="2"/>
  <c r="AO346" i="2"/>
  <c r="AN346" i="2"/>
  <c r="AM346" i="2"/>
  <c r="AL346" i="2"/>
  <c r="AK346" i="2"/>
  <c r="AJ346" i="2"/>
  <c r="AI346" i="2"/>
  <c r="AH346" i="2"/>
  <c r="AG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T345" i="2"/>
  <c r="AS345" i="2"/>
  <c r="AR345" i="2"/>
  <c r="AQ345" i="2"/>
  <c r="AO345" i="2"/>
  <c r="AN345" i="2"/>
  <c r="AM345" i="2"/>
  <c r="AL345" i="2"/>
  <c r="AK345" i="2"/>
  <c r="AJ345" i="2"/>
  <c r="AI345" i="2"/>
  <c r="AH345" i="2"/>
  <c r="AG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T344" i="2"/>
  <c r="AS344" i="2"/>
  <c r="AR344" i="2"/>
  <c r="AQ344" i="2"/>
  <c r="AO344" i="2"/>
  <c r="AN344" i="2"/>
  <c r="AM344" i="2"/>
  <c r="AL344" i="2"/>
  <c r="AK344" i="2"/>
  <c r="AJ344" i="2"/>
  <c r="AI344" i="2"/>
  <c r="AH344" i="2"/>
  <c r="AG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T343" i="2"/>
  <c r="AS343" i="2"/>
  <c r="AR343" i="2"/>
  <c r="AQ343" i="2"/>
  <c r="AO343" i="2"/>
  <c r="AN343" i="2"/>
  <c r="AM343" i="2"/>
  <c r="AL343" i="2"/>
  <c r="AK343" i="2"/>
  <c r="AJ343" i="2"/>
  <c r="AI343" i="2"/>
  <c r="AH343" i="2"/>
  <c r="AG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T342" i="2"/>
  <c r="AS342" i="2"/>
  <c r="AR342" i="2"/>
  <c r="AQ342" i="2"/>
  <c r="AO342" i="2"/>
  <c r="AN342" i="2"/>
  <c r="AM342" i="2"/>
  <c r="AL342" i="2"/>
  <c r="AK342" i="2"/>
  <c r="AJ342" i="2"/>
  <c r="AI342" i="2"/>
  <c r="AH342" i="2"/>
  <c r="AG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T341" i="2"/>
  <c r="AS341" i="2"/>
  <c r="AR341" i="2"/>
  <c r="AQ341" i="2"/>
  <c r="AO341" i="2"/>
  <c r="AN341" i="2"/>
  <c r="AM341" i="2"/>
  <c r="AL341" i="2"/>
  <c r="AK341" i="2"/>
  <c r="AJ341" i="2"/>
  <c r="AI341" i="2"/>
  <c r="AH341" i="2"/>
  <c r="AG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T340" i="2"/>
  <c r="AS340" i="2"/>
  <c r="AR340" i="2"/>
  <c r="AQ340" i="2"/>
  <c r="AO340" i="2"/>
  <c r="AN340" i="2"/>
  <c r="AM340" i="2"/>
  <c r="AL340" i="2"/>
  <c r="AK340" i="2"/>
  <c r="AJ340" i="2"/>
  <c r="AI340" i="2"/>
  <c r="AH340" i="2"/>
  <c r="AG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T339" i="2"/>
  <c r="AS339" i="2"/>
  <c r="AR339" i="2"/>
  <c r="AQ339" i="2"/>
  <c r="AO339" i="2"/>
  <c r="AN339" i="2"/>
  <c r="AM339" i="2"/>
  <c r="AL339" i="2"/>
  <c r="AK339" i="2"/>
  <c r="AJ339" i="2"/>
  <c r="AI339" i="2"/>
  <c r="AH339" i="2"/>
  <c r="AG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T338" i="2"/>
  <c r="AS338" i="2"/>
  <c r="AR338" i="2"/>
  <c r="AQ338" i="2"/>
  <c r="AO338" i="2"/>
  <c r="AN338" i="2"/>
  <c r="AM338" i="2"/>
  <c r="AL338" i="2"/>
  <c r="AK338" i="2"/>
  <c r="AJ338" i="2"/>
  <c r="AI338" i="2"/>
  <c r="AH338" i="2"/>
  <c r="AG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T337" i="2"/>
  <c r="AS337" i="2"/>
  <c r="AR337" i="2"/>
  <c r="AQ337" i="2"/>
  <c r="AO337" i="2"/>
  <c r="AN337" i="2"/>
  <c r="AM337" i="2"/>
  <c r="AL337" i="2"/>
  <c r="AK337" i="2"/>
  <c r="AJ337" i="2"/>
  <c r="AI337" i="2"/>
  <c r="AH337" i="2"/>
  <c r="AG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T336" i="2"/>
  <c r="AS336" i="2"/>
  <c r="AR336" i="2"/>
  <c r="AQ336" i="2"/>
  <c r="AO336" i="2"/>
  <c r="AN336" i="2"/>
  <c r="AM336" i="2"/>
  <c r="AL336" i="2"/>
  <c r="AK336" i="2"/>
  <c r="AJ336" i="2"/>
  <c r="AI336" i="2"/>
  <c r="AH336" i="2"/>
  <c r="AG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T335" i="2"/>
  <c r="AS335" i="2"/>
  <c r="AR335" i="2"/>
  <c r="AQ335" i="2"/>
  <c r="AO335" i="2"/>
  <c r="AN335" i="2"/>
  <c r="AM335" i="2"/>
  <c r="AL335" i="2"/>
  <c r="AK335" i="2"/>
  <c r="AJ335" i="2"/>
  <c r="AI335" i="2"/>
  <c r="AH335" i="2"/>
  <c r="AG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T334" i="2"/>
  <c r="AS334" i="2"/>
  <c r="AR334" i="2"/>
  <c r="AQ334" i="2"/>
  <c r="AO334" i="2"/>
  <c r="AN334" i="2"/>
  <c r="AM334" i="2"/>
  <c r="AL334" i="2"/>
  <c r="AK334" i="2"/>
  <c r="AJ334" i="2"/>
  <c r="AI334" i="2"/>
  <c r="AH334" i="2"/>
  <c r="AG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T333" i="2"/>
  <c r="AS333" i="2"/>
  <c r="AR333" i="2"/>
  <c r="AQ333" i="2"/>
  <c r="AO333" i="2"/>
  <c r="AN333" i="2"/>
  <c r="AM333" i="2"/>
  <c r="AL333" i="2"/>
  <c r="AK333" i="2"/>
  <c r="AJ333" i="2"/>
  <c r="AI333" i="2"/>
  <c r="AH333" i="2"/>
  <c r="AG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T332" i="2"/>
  <c r="AS332" i="2"/>
  <c r="AR332" i="2"/>
  <c r="AQ332" i="2"/>
  <c r="AO332" i="2"/>
  <c r="AN332" i="2"/>
  <c r="AM332" i="2"/>
  <c r="AL332" i="2"/>
  <c r="AK332" i="2"/>
  <c r="AJ332" i="2"/>
  <c r="AI332" i="2"/>
  <c r="AH332" i="2"/>
  <c r="AG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T331" i="2"/>
  <c r="AS331" i="2"/>
  <c r="AR331" i="2"/>
  <c r="AQ331" i="2"/>
  <c r="AO331" i="2"/>
  <c r="AN331" i="2"/>
  <c r="AM331" i="2"/>
  <c r="AL331" i="2"/>
  <c r="AK331" i="2"/>
  <c r="AJ331" i="2"/>
  <c r="AI331" i="2"/>
  <c r="AH331" i="2"/>
  <c r="AG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T330" i="2"/>
  <c r="AS330" i="2"/>
  <c r="AR330" i="2"/>
  <c r="AQ330" i="2"/>
  <c r="AO330" i="2"/>
  <c r="AN330" i="2"/>
  <c r="AM330" i="2"/>
  <c r="AL330" i="2"/>
  <c r="AK330" i="2"/>
  <c r="AJ330" i="2"/>
  <c r="AI330" i="2"/>
  <c r="AH330" i="2"/>
  <c r="AG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T329" i="2"/>
  <c r="AS329" i="2"/>
  <c r="AR329" i="2"/>
  <c r="AQ329" i="2"/>
  <c r="AO329" i="2"/>
  <c r="AN329" i="2"/>
  <c r="AM329" i="2"/>
  <c r="AL329" i="2"/>
  <c r="AK329" i="2"/>
  <c r="AJ329" i="2"/>
  <c r="AI329" i="2"/>
  <c r="AH329" i="2"/>
  <c r="AG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T328" i="2"/>
  <c r="AS328" i="2"/>
  <c r="AR328" i="2"/>
  <c r="AQ328" i="2"/>
  <c r="AO328" i="2"/>
  <c r="AN328" i="2"/>
  <c r="AM328" i="2"/>
  <c r="AL328" i="2"/>
  <c r="AK328" i="2"/>
  <c r="AJ328" i="2"/>
  <c r="AI328" i="2"/>
  <c r="AH328" i="2"/>
  <c r="AG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T327" i="2"/>
  <c r="AS327" i="2"/>
  <c r="AR327" i="2"/>
  <c r="AQ327" i="2"/>
  <c r="AO327" i="2"/>
  <c r="AN327" i="2"/>
  <c r="AM327" i="2"/>
  <c r="AL327" i="2"/>
  <c r="AK327" i="2"/>
  <c r="AJ327" i="2"/>
  <c r="AI327" i="2"/>
  <c r="AH327" i="2"/>
  <c r="AG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T326" i="2"/>
  <c r="AS326" i="2"/>
  <c r="AR326" i="2"/>
  <c r="AQ326" i="2"/>
  <c r="AO326" i="2"/>
  <c r="AN326" i="2"/>
  <c r="AM326" i="2"/>
  <c r="AL326" i="2"/>
  <c r="AK326" i="2"/>
  <c r="AJ326" i="2"/>
  <c r="AI326" i="2"/>
  <c r="AH326" i="2"/>
  <c r="AG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T325" i="2"/>
  <c r="AS325" i="2"/>
  <c r="AR325" i="2"/>
  <c r="AQ325" i="2"/>
  <c r="AO325" i="2"/>
  <c r="AN325" i="2"/>
  <c r="AM325" i="2"/>
  <c r="AL325" i="2"/>
  <c r="AK325" i="2"/>
  <c r="AJ325" i="2"/>
  <c r="AI325" i="2"/>
  <c r="AH325" i="2"/>
  <c r="AG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T324" i="2"/>
  <c r="AS324" i="2"/>
  <c r="AR324" i="2"/>
  <c r="AQ324" i="2"/>
  <c r="AO324" i="2"/>
  <c r="AN324" i="2"/>
  <c r="AM324" i="2"/>
  <c r="AL324" i="2"/>
  <c r="AK324" i="2"/>
  <c r="AJ324" i="2"/>
  <c r="AI324" i="2"/>
  <c r="AH324" i="2"/>
  <c r="AG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T323" i="2"/>
  <c r="AS323" i="2"/>
  <c r="AR323" i="2"/>
  <c r="AQ323" i="2"/>
  <c r="AO323" i="2"/>
  <c r="AN323" i="2"/>
  <c r="AM323" i="2"/>
  <c r="AL323" i="2"/>
  <c r="AK323" i="2"/>
  <c r="AJ323" i="2"/>
  <c r="AI323" i="2"/>
  <c r="AH323" i="2"/>
  <c r="AG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T322" i="2"/>
  <c r="AS322" i="2"/>
  <c r="AR322" i="2"/>
  <c r="AQ322" i="2"/>
  <c r="AO322" i="2"/>
  <c r="AN322" i="2"/>
  <c r="AM322" i="2"/>
  <c r="AL322" i="2"/>
  <c r="AK322" i="2"/>
  <c r="AJ322" i="2"/>
  <c r="AI322" i="2"/>
  <c r="AH322" i="2"/>
  <c r="AG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T321" i="2"/>
  <c r="AS321" i="2"/>
  <c r="AR321" i="2"/>
  <c r="AQ321" i="2"/>
  <c r="AO321" i="2"/>
  <c r="AN321" i="2"/>
  <c r="AM321" i="2"/>
  <c r="AL321" i="2"/>
  <c r="AK321" i="2"/>
  <c r="AJ321" i="2"/>
  <c r="AI321" i="2"/>
  <c r="AH321" i="2"/>
  <c r="AG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T320" i="2"/>
  <c r="AS320" i="2"/>
  <c r="AR320" i="2"/>
  <c r="AQ320" i="2"/>
  <c r="AO320" i="2"/>
  <c r="AN320" i="2"/>
  <c r="AM320" i="2"/>
  <c r="AL320" i="2"/>
  <c r="AK320" i="2"/>
  <c r="AJ320" i="2"/>
  <c r="AI320" i="2"/>
  <c r="AH320" i="2"/>
  <c r="AG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T319" i="2"/>
  <c r="AS319" i="2"/>
  <c r="AR319" i="2"/>
  <c r="AQ319" i="2"/>
  <c r="AO319" i="2"/>
  <c r="AN319" i="2"/>
  <c r="AM319" i="2"/>
  <c r="AL319" i="2"/>
  <c r="AK319" i="2"/>
  <c r="AJ319" i="2"/>
  <c r="AI319" i="2"/>
  <c r="AH319" i="2"/>
  <c r="AG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T318" i="2"/>
  <c r="AS318" i="2"/>
  <c r="AR318" i="2"/>
  <c r="AQ318" i="2"/>
  <c r="AO318" i="2"/>
  <c r="AN318" i="2"/>
  <c r="AM318" i="2"/>
  <c r="AL318" i="2"/>
  <c r="AK318" i="2"/>
  <c r="AJ318" i="2"/>
  <c r="AI318" i="2"/>
  <c r="AH318" i="2"/>
  <c r="AG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T317" i="2"/>
  <c r="AS317" i="2"/>
  <c r="AR317" i="2"/>
  <c r="AQ317" i="2"/>
  <c r="AO317" i="2"/>
  <c r="AN317" i="2"/>
  <c r="AM317" i="2"/>
  <c r="AL317" i="2"/>
  <c r="AK317" i="2"/>
  <c r="AJ317" i="2"/>
  <c r="AI317" i="2"/>
  <c r="AH317" i="2"/>
  <c r="AG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T316" i="2"/>
  <c r="AS316" i="2"/>
  <c r="AR316" i="2"/>
  <c r="AQ316" i="2"/>
  <c r="AO316" i="2"/>
  <c r="AN316" i="2"/>
  <c r="AM316" i="2"/>
  <c r="AL316" i="2"/>
  <c r="AK316" i="2"/>
  <c r="AJ316" i="2"/>
  <c r="AI316" i="2"/>
  <c r="AH316" i="2"/>
  <c r="AG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T315" i="2"/>
  <c r="AS315" i="2"/>
  <c r="AR315" i="2"/>
  <c r="AQ315" i="2"/>
  <c r="AO315" i="2"/>
  <c r="AN315" i="2"/>
  <c r="AM315" i="2"/>
  <c r="AL315" i="2"/>
  <c r="AK315" i="2"/>
  <c r="AJ315" i="2"/>
  <c r="AI315" i="2"/>
  <c r="AH315" i="2"/>
  <c r="AG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T314" i="2"/>
  <c r="AS314" i="2"/>
  <c r="AR314" i="2"/>
  <c r="AQ314" i="2"/>
  <c r="AO314" i="2"/>
  <c r="AN314" i="2"/>
  <c r="AM314" i="2"/>
  <c r="AL314" i="2"/>
  <c r="AK314" i="2"/>
  <c r="AJ314" i="2"/>
  <c r="AI314" i="2"/>
  <c r="AH314" i="2"/>
  <c r="AG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T313" i="2"/>
  <c r="AS313" i="2"/>
  <c r="AR313" i="2"/>
  <c r="AQ313" i="2"/>
  <c r="AO313" i="2"/>
  <c r="AN313" i="2"/>
  <c r="AM313" i="2"/>
  <c r="AL313" i="2"/>
  <c r="AK313" i="2"/>
  <c r="AJ313" i="2"/>
  <c r="AI313" i="2"/>
  <c r="AH313" i="2"/>
  <c r="AG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T312" i="2"/>
  <c r="AS312" i="2"/>
  <c r="AR312" i="2"/>
  <c r="AQ312" i="2"/>
  <c r="AO312" i="2"/>
  <c r="AN312" i="2"/>
  <c r="AM312" i="2"/>
  <c r="AL312" i="2"/>
  <c r="AK312" i="2"/>
  <c r="AJ312" i="2"/>
  <c r="AI312" i="2"/>
  <c r="AH312" i="2"/>
  <c r="AG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T311" i="2"/>
  <c r="AS311" i="2"/>
  <c r="AR311" i="2"/>
  <c r="AQ311" i="2"/>
  <c r="AO311" i="2"/>
  <c r="AN311" i="2"/>
  <c r="AM311" i="2"/>
  <c r="AL311" i="2"/>
  <c r="AK311" i="2"/>
  <c r="AJ311" i="2"/>
  <c r="AI311" i="2"/>
  <c r="AH311" i="2"/>
  <c r="AG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T310" i="2"/>
  <c r="AS310" i="2"/>
  <c r="AR310" i="2"/>
  <c r="AQ310" i="2"/>
  <c r="AO310" i="2"/>
  <c r="AN310" i="2"/>
  <c r="AM310" i="2"/>
  <c r="AL310" i="2"/>
  <c r="AK310" i="2"/>
  <c r="AJ310" i="2"/>
  <c r="AI310" i="2"/>
  <c r="AH310" i="2"/>
  <c r="AG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T309" i="2"/>
  <c r="AS309" i="2"/>
  <c r="AR309" i="2"/>
  <c r="AQ309" i="2"/>
  <c r="AO309" i="2"/>
  <c r="AN309" i="2"/>
  <c r="AM309" i="2"/>
  <c r="AL309" i="2"/>
  <c r="AK309" i="2"/>
  <c r="AJ309" i="2"/>
  <c r="AI309" i="2"/>
  <c r="AH309" i="2"/>
  <c r="AG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T308" i="2"/>
  <c r="AS308" i="2"/>
  <c r="AR308" i="2"/>
  <c r="AQ308" i="2"/>
  <c r="AO308" i="2"/>
  <c r="AN308" i="2"/>
  <c r="AM308" i="2"/>
  <c r="AL308" i="2"/>
  <c r="AK308" i="2"/>
  <c r="AJ308" i="2"/>
  <c r="AI308" i="2"/>
  <c r="AH308" i="2"/>
  <c r="AG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T307" i="2"/>
  <c r="AS307" i="2"/>
  <c r="AR307" i="2"/>
  <c r="AQ307" i="2"/>
  <c r="AO307" i="2"/>
  <c r="AN307" i="2"/>
  <c r="AM307" i="2"/>
  <c r="AL307" i="2"/>
  <c r="AK307" i="2"/>
  <c r="AJ307" i="2"/>
  <c r="AI307" i="2"/>
  <c r="AH307" i="2"/>
  <c r="AG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T306" i="2"/>
  <c r="AS306" i="2"/>
  <c r="AR306" i="2"/>
  <c r="AQ306" i="2"/>
  <c r="AO306" i="2"/>
  <c r="AN306" i="2"/>
  <c r="AM306" i="2"/>
  <c r="AL306" i="2"/>
  <c r="AK306" i="2"/>
  <c r="AJ306" i="2"/>
  <c r="AI306" i="2"/>
  <c r="AH306" i="2"/>
  <c r="AG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T305" i="2"/>
  <c r="AS305" i="2"/>
  <c r="AR305" i="2"/>
  <c r="AQ305" i="2"/>
  <c r="AO305" i="2"/>
  <c r="AN305" i="2"/>
  <c r="AM305" i="2"/>
  <c r="AL305" i="2"/>
  <c r="AK305" i="2"/>
  <c r="AJ305" i="2"/>
  <c r="AI305" i="2"/>
  <c r="AH305" i="2"/>
  <c r="AG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T304" i="2"/>
  <c r="AS304" i="2"/>
  <c r="AR304" i="2"/>
  <c r="AQ304" i="2"/>
  <c r="AO304" i="2"/>
  <c r="AN304" i="2"/>
  <c r="AM304" i="2"/>
  <c r="AL304" i="2"/>
  <c r="AK304" i="2"/>
  <c r="AJ304" i="2"/>
  <c r="AI304" i="2"/>
  <c r="AH304" i="2"/>
  <c r="AG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T303" i="2"/>
  <c r="AS303" i="2"/>
  <c r="AR303" i="2"/>
  <c r="AQ303" i="2"/>
  <c r="AO303" i="2"/>
  <c r="AN303" i="2"/>
  <c r="AM303" i="2"/>
  <c r="AL303" i="2"/>
  <c r="AK303" i="2"/>
  <c r="AJ303" i="2"/>
  <c r="AI303" i="2"/>
  <c r="AH303" i="2"/>
  <c r="AG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T302" i="2"/>
  <c r="AS302" i="2"/>
  <c r="AR302" i="2"/>
  <c r="AQ302" i="2"/>
  <c r="AO302" i="2"/>
  <c r="AN302" i="2"/>
  <c r="AM302" i="2"/>
  <c r="AL302" i="2"/>
  <c r="AK302" i="2"/>
  <c r="AJ302" i="2"/>
  <c r="AI302" i="2"/>
  <c r="AH302" i="2"/>
  <c r="AG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T301" i="2"/>
  <c r="AS301" i="2"/>
  <c r="AR301" i="2"/>
  <c r="AQ301" i="2"/>
  <c r="AO301" i="2"/>
  <c r="AN301" i="2"/>
  <c r="AM301" i="2"/>
  <c r="AL301" i="2"/>
  <c r="AK301" i="2"/>
  <c r="AJ301" i="2"/>
  <c r="AI301" i="2"/>
  <c r="AH301" i="2"/>
  <c r="AG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T300" i="2"/>
  <c r="AS300" i="2"/>
  <c r="AR300" i="2"/>
  <c r="AQ300" i="2"/>
  <c r="AO300" i="2"/>
  <c r="AN300" i="2"/>
  <c r="AM300" i="2"/>
  <c r="AL300" i="2"/>
  <c r="AK300" i="2"/>
  <c r="AJ300" i="2"/>
  <c r="AI300" i="2"/>
  <c r="AH300" i="2"/>
  <c r="AG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T299" i="2"/>
  <c r="AS299" i="2"/>
  <c r="AR299" i="2"/>
  <c r="AQ299" i="2"/>
  <c r="AO299" i="2"/>
  <c r="AN299" i="2"/>
  <c r="AM299" i="2"/>
  <c r="AL299" i="2"/>
  <c r="AK299" i="2"/>
  <c r="AJ299" i="2"/>
  <c r="AI299" i="2"/>
  <c r="AH299" i="2"/>
  <c r="AG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T298" i="2"/>
  <c r="AS298" i="2"/>
  <c r="AR298" i="2"/>
  <c r="AQ298" i="2"/>
  <c r="AO298" i="2"/>
  <c r="AN298" i="2"/>
  <c r="AM298" i="2"/>
  <c r="AL298" i="2"/>
  <c r="AK298" i="2"/>
  <c r="AJ298" i="2"/>
  <c r="AI298" i="2"/>
  <c r="AH298" i="2"/>
  <c r="AG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T297" i="2"/>
  <c r="AS297" i="2"/>
  <c r="AR297" i="2"/>
  <c r="AQ297" i="2"/>
  <c r="AO297" i="2"/>
  <c r="AN297" i="2"/>
  <c r="AM297" i="2"/>
  <c r="AL297" i="2"/>
  <c r="AK297" i="2"/>
  <c r="AJ297" i="2"/>
  <c r="AI297" i="2"/>
  <c r="AH297" i="2"/>
  <c r="AG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T296" i="2"/>
  <c r="AS296" i="2"/>
  <c r="AR296" i="2"/>
  <c r="AQ296" i="2"/>
  <c r="AO296" i="2"/>
  <c r="AN296" i="2"/>
  <c r="AM296" i="2"/>
  <c r="AL296" i="2"/>
  <c r="AK296" i="2"/>
  <c r="AJ296" i="2"/>
  <c r="AI296" i="2"/>
  <c r="AH296" i="2"/>
  <c r="AG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T295" i="2"/>
  <c r="AS295" i="2"/>
  <c r="AR295" i="2"/>
  <c r="AQ295" i="2"/>
  <c r="AO295" i="2"/>
  <c r="AN295" i="2"/>
  <c r="AM295" i="2"/>
  <c r="AL295" i="2"/>
  <c r="AK295" i="2"/>
  <c r="AJ295" i="2"/>
  <c r="AI295" i="2"/>
  <c r="AH295" i="2"/>
  <c r="AG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T294" i="2"/>
  <c r="AS294" i="2"/>
  <c r="AR294" i="2"/>
  <c r="AQ294" i="2"/>
  <c r="AO294" i="2"/>
  <c r="AN294" i="2"/>
  <c r="AM294" i="2"/>
  <c r="AL294" i="2"/>
  <c r="AK294" i="2"/>
  <c r="AJ294" i="2"/>
  <c r="AI294" i="2"/>
  <c r="AH294" i="2"/>
  <c r="AG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T293" i="2"/>
  <c r="AS293" i="2"/>
  <c r="AR293" i="2"/>
  <c r="AQ293" i="2"/>
  <c r="AO293" i="2"/>
  <c r="AN293" i="2"/>
  <c r="AM293" i="2"/>
  <c r="AL293" i="2"/>
  <c r="AK293" i="2"/>
  <c r="AJ293" i="2"/>
  <c r="AI293" i="2"/>
  <c r="AH293" i="2"/>
  <c r="AG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T292" i="2"/>
  <c r="AS292" i="2"/>
  <c r="AR292" i="2"/>
  <c r="AQ292" i="2"/>
  <c r="AO292" i="2"/>
  <c r="AN292" i="2"/>
  <c r="AM292" i="2"/>
  <c r="AL292" i="2"/>
  <c r="AK292" i="2"/>
  <c r="AJ292" i="2"/>
  <c r="AI292" i="2"/>
  <c r="AH292" i="2"/>
  <c r="AG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T291" i="2"/>
  <c r="AS291" i="2"/>
  <c r="AR291" i="2"/>
  <c r="AQ291" i="2"/>
  <c r="AO291" i="2"/>
  <c r="AN291" i="2"/>
  <c r="AM291" i="2"/>
  <c r="AL291" i="2"/>
  <c r="AK291" i="2"/>
  <c r="AJ291" i="2"/>
  <c r="AI291" i="2"/>
  <c r="AH291" i="2"/>
  <c r="AG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T290" i="2"/>
  <c r="AS290" i="2"/>
  <c r="AR290" i="2"/>
  <c r="AQ290" i="2"/>
  <c r="AO290" i="2"/>
  <c r="AN290" i="2"/>
  <c r="AM290" i="2"/>
  <c r="AL290" i="2"/>
  <c r="AK290" i="2"/>
  <c r="AJ290" i="2"/>
  <c r="AI290" i="2"/>
  <c r="AH290" i="2"/>
  <c r="AG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T289" i="2"/>
  <c r="AS289" i="2"/>
  <c r="AR289" i="2"/>
  <c r="AQ289" i="2"/>
  <c r="AO289" i="2"/>
  <c r="AN289" i="2"/>
  <c r="AM289" i="2"/>
  <c r="AL289" i="2"/>
  <c r="AK289" i="2"/>
  <c r="AJ289" i="2"/>
  <c r="AI289" i="2"/>
  <c r="AH289" i="2"/>
  <c r="AG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T288" i="2"/>
  <c r="AS288" i="2"/>
  <c r="AR288" i="2"/>
  <c r="AQ288" i="2"/>
  <c r="AO288" i="2"/>
  <c r="AN288" i="2"/>
  <c r="AM288" i="2"/>
  <c r="AL288" i="2"/>
  <c r="AK288" i="2"/>
  <c r="AJ288" i="2"/>
  <c r="AI288" i="2"/>
  <c r="AH288" i="2"/>
  <c r="AG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T287" i="2"/>
  <c r="AS287" i="2"/>
  <c r="AR287" i="2"/>
  <c r="AQ287" i="2"/>
  <c r="AO287" i="2"/>
  <c r="AN287" i="2"/>
  <c r="AM287" i="2"/>
  <c r="AL287" i="2"/>
  <c r="AK287" i="2"/>
  <c r="AJ287" i="2"/>
  <c r="AI287" i="2"/>
  <c r="AH287" i="2"/>
  <c r="AG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T286" i="2"/>
  <c r="AS286" i="2"/>
  <c r="AR286" i="2"/>
  <c r="AQ286" i="2"/>
  <c r="AO286" i="2"/>
  <c r="AN286" i="2"/>
  <c r="AM286" i="2"/>
  <c r="AL286" i="2"/>
  <c r="AK286" i="2"/>
  <c r="AJ286" i="2"/>
  <c r="AI286" i="2"/>
  <c r="AH286" i="2"/>
  <c r="AG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T285" i="2"/>
  <c r="AS285" i="2"/>
  <c r="AR285" i="2"/>
  <c r="AQ285" i="2"/>
  <c r="AO285" i="2"/>
  <c r="AN285" i="2"/>
  <c r="AM285" i="2"/>
  <c r="AL285" i="2"/>
  <c r="AK285" i="2"/>
  <c r="AJ285" i="2"/>
  <c r="AI285" i="2"/>
  <c r="AH285" i="2"/>
  <c r="AG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T284" i="2"/>
  <c r="AS284" i="2"/>
  <c r="AR284" i="2"/>
  <c r="AQ284" i="2"/>
  <c r="AO284" i="2"/>
  <c r="AN284" i="2"/>
  <c r="AM284" i="2"/>
  <c r="AL284" i="2"/>
  <c r="AK284" i="2"/>
  <c r="AJ284" i="2"/>
  <c r="AI284" i="2"/>
  <c r="AH284" i="2"/>
  <c r="AG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T283" i="2"/>
  <c r="AS283" i="2"/>
  <c r="AR283" i="2"/>
  <c r="AQ283" i="2"/>
  <c r="AO283" i="2"/>
  <c r="AN283" i="2"/>
  <c r="AM283" i="2"/>
  <c r="AL283" i="2"/>
  <c r="AK283" i="2"/>
  <c r="AJ283" i="2"/>
  <c r="AI283" i="2"/>
  <c r="AH283" i="2"/>
  <c r="AG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T282" i="2"/>
  <c r="AS282" i="2"/>
  <c r="AR282" i="2"/>
  <c r="AQ282" i="2"/>
  <c r="AO282" i="2"/>
  <c r="AN282" i="2"/>
  <c r="AM282" i="2"/>
  <c r="AL282" i="2"/>
  <c r="AK282" i="2"/>
  <c r="AJ282" i="2"/>
  <c r="AI282" i="2"/>
  <c r="AH282" i="2"/>
  <c r="AG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T281" i="2"/>
  <c r="AS281" i="2"/>
  <c r="AR281" i="2"/>
  <c r="AQ281" i="2"/>
  <c r="AO281" i="2"/>
  <c r="AN281" i="2"/>
  <c r="AM281" i="2"/>
  <c r="AL281" i="2"/>
  <c r="AK281" i="2"/>
  <c r="AJ281" i="2"/>
  <c r="AI281" i="2"/>
  <c r="AH281" i="2"/>
  <c r="AG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T280" i="2"/>
  <c r="AS280" i="2"/>
  <c r="AR280" i="2"/>
  <c r="AQ280" i="2"/>
  <c r="AO280" i="2"/>
  <c r="AN280" i="2"/>
  <c r="AM280" i="2"/>
  <c r="AL280" i="2"/>
  <c r="AK280" i="2"/>
  <c r="AJ280" i="2"/>
  <c r="AI280" i="2"/>
  <c r="AH280" i="2"/>
  <c r="AG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T279" i="2"/>
  <c r="AS279" i="2"/>
  <c r="AR279" i="2"/>
  <c r="AQ279" i="2"/>
  <c r="AO279" i="2"/>
  <c r="AN279" i="2"/>
  <c r="AM279" i="2"/>
  <c r="AL279" i="2"/>
  <c r="AK279" i="2"/>
  <c r="AJ279" i="2"/>
  <c r="AI279" i="2"/>
  <c r="AH279" i="2"/>
  <c r="AG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T278" i="2"/>
  <c r="AS278" i="2"/>
  <c r="AR278" i="2"/>
  <c r="AQ278" i="2"/>
  <c r="AO278" i="2"/>
  <c r="AN278" i="2"/>
  <c r="AM278" i="2"/>
  <c r="AL278" i="2"/>
  <c r="AK278" i="2"/>
  <c r="AJ278" i="2"/>
  <c r="AI278" i="2"/>
  <c r="AH278" i="2"/>
  <c r="AG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T277" i="2"/>
  <c r="AS277" i="2"/>
  <c r="AR277" i="2"/>
  <c r="AQ277" i="2"/>
  <c r="AO277" i="2"/>
  <c r="AN277" i="2"/>
  <c r="AM277" i="2"/>
  <c r="AL277" i="2"/>
  <c r="AK277" i="2"/>
  <c r="AJ277" i="2"/>
  <c r="AI277" i="2"/>
  <c r="AH277" i="2"/>
  <c r="AG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T276" i="2"/>
  <c r="AS276" i="2"/>
  <c r="AR276" i="2"/>
  <c r="AQ276" i="2"/>
  <c r="AO276" i="2"/>
  <c r="AN276" i="2"/>
  <c r="AM276" i="2"/>
  <c r="AL276" i="2"/>
  <c r="AK276" i="2"/>
  <c r="AJ276" i="2"/>
  <c r="AI276" i="2"/>
  <c r="AH276" i="2"/>
  <c r="AG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T275" i="2"/>
  <c r="AS275" i="2"/>
  <c r="AR275" i="2"/>
  <c r="AQ275" i="2"/>
  <c r="AO275" i="2"/>
  <c r="AN275" i="2"/>
  <c r="AM275" i="2"/>
  <c r="AL275" i="2"/>
  <c r="AK275" i="2"/>
  <c r="AJ275" i="2"/>
  <c r="AI275" i="2"/>
  <c r="AH275" i="2"/>
  <c r="AG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T274" i="2"/>
  <c r="AS274" i="2"/>
  <c r="AR274" i="2"/>
  <c r="AQ274" i="2"/>
  <c r="AO274" i="2"/>
  <c r="AN274" i="2"/>
  <c r="AM274" i="2"/>
  <c r="AL274" i="2"/>
  <c r="AK274" i="2"/>
  <c r="AJ274" i="2"/>
  <c r="AI274" i="2"/>
  <c r="AH274" i="2"/>
  <c r="AG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T273" i="2"/>
  <c r="AS273" i="2"/>
  <c r="AR273" i="2"/>
  <c r="AQ273" i="2"/>
  <c r="AO273" i="2"/>
  <c r="AN273" i="2"/>
  <c r="AM273" i="2"/>
  <c r="AL273" i="2"/>
  <c r="AK273" i="2"/>
  <c r="AJ273" i="2"/>
  <c r="AI273" i="2"/>
  <c r="AH273" i="2"/>
  <c r="AG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T272" i="2"/>
  <c r="AS272" i="2"/>
  <c r="AR272" i="2"/>
  <c r="AQ272" i="2"/>
  <c r="AO272" i="2"/>
  <c r="AN272" i="2"/>
  <c r="AM272" i="2"/>
  <c r="AL272" i="2"/>
  <c r="AK272" i="2"/>
  <c r="AJ272" i="2"/>
  <c r="AI272" i="2"/>
  <c r="AH272" i="2"/>
  <c r="AG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T271" i="2"/>
  <c r="AS271" i="2"/>
  <c r="AR271" i="2"/>
  <c r="AQ271" i="2"/>
  <c r="AO271" i="2"/>
  <c r="AN271" i="2"/>
  <c r="AM271" i="2"/>
  <c r="AL271" i="2"/>
  <c r="AK271" i="2"/>
  <c r="AJ271" i="2"/>
  <c r="AI271" i="2"/>
  <c r="AH271" i="2"/>
  <c r="AG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T270" i="2"/>
  <c r="AS270" i="2"/>
  <c r="AR270" i="2"/>
  <c r="AQ270" i="2"/>
  <c r="AO270" i="2"/>
  <c r="AN270" i="2"/>
  <c r="AM270" i="2"/>
  <c r="AL270" i="2"/>
  <c r="AK270" i="2"/>
  <c r="AJ270" i="2"/>
  <c r="AI270" i="2"/>
  <c r="AH270" i="2"/>
  <c r="AG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T269" i="2"/>
  <c r="AS269" i="2"/>
  <c r="AR269" i="2"/>
  <c r="AQ269" i="2"/>
  <c r="AO269" i="2"/>
  <c r="AN269" i="2"/>
  <c r="AM269" i="2"/>
  <c r="AL269" i="2"/>
  <c r="AK269" i="2"/>
  <c r="AJ269" i="2"/>
  <c r="AI269" i="2"/>
  <c r="AH269" i="2"/>
  <c r="AG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T268" i="2"/>
  <c r="AS268" i="2"/>
  <c r="AR268" i="2"/>
  <c r="AQ268" i="2"/>
  <c r="AO268" i="2"/>
  <c r="AN268" i="2"/>
  <c r="AM268" i="2"/>
  <c r="AL268" i="2"/>
  <c r="AK268" i="2"/>
  <c r="AJ268" i="2"/>
  <c r="AI268" i="2"/>
  <c r="AH268" i="2"/>
  <c r="AG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T267" i="2"/>
  <c r="AS267" i="2"/>
  <c r="AR267" i="2"/>
  <c r="AQ267" i="2"/>
  <c r="AO267" i="2"/>
  <c r="AN267" i="2"/>
  <c r="AM267" i="2"/>
  <c r="AL267" i="2"/>
  <c r="AK267" i="2"/>
  <c r="AJ267" i="2"/>
  <c r="AI267" i="2"/>
  <c r="AH267" i="2"/>
  <c r="AG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T266" i="2"/>
  <c r="AS266" i="2"/>
  <c r="AR266" i="2"/>
  <c r="AQ266" i="2"/>
  <c r="AO266" i="2"/>
  <c r="AN266" i="2"/>
  <c r="AM266" i="2"/>
  <c r="AL266" i="2"/>
  <c r="AK266" i="2"/>
  <c r="AJ266" i="2"/>
  <c r="AI266" i="2"/>
  <c r="AH266" i="2"/>
  <c r="AG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T265" i="2"/>
  <c r="AS265" i="2"/>
  <c r="AR265" i="2"/>
  <c r="AQ265" i="2"/>
  <c r="AO265" i="2"/>
  <c r="AN265" i="2"/>
  <c r="AM265" i="2"/>
  <c r="AL265" i="2"/>
  <c r="AK265" i="2"/>
  <c r="AJ265" i="2"/>
  <c r="AI265" i="2"/>
  <c r="AH265" i="2"/>
  <c r="AG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T264" i="2"/>
  <c r="AS264" i="2"/>
  <c r="AR264" i="2"/>
  <c r="AQ264" i="2"/>
  <c r="AO264" i="2"/>
  <c r="AN264" i="2"/>
  <c r="AM264" i="2"/>
  <c r="AL264" i="2"/>
  <c r="AK264" i="2"/>
  <c r="AJ264" i="2"/>
  <c r="AI264" i="2"/>
  <c r="AH264" i="2"/>
  <c r="AG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T263" i="2"/>
  <c r="AS263" i="2"/>
  <c r="AR263" i="2"/>
  <c r="AQ263" i="2"/>
  <c r="AO263" i="2"/>
  <c r="AN263" i="2"/>
  <c r="AM263" i="2"/>
  <c r="AL263" i="2"/>
  <c r="AK263" i="2"/>
  <c r="AJ263" i="2"/>
  <c r="AI263" i="2"/>
  <c r="AH263" i="2"/>
  <c r="AG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T262" i="2"/>
  <c r="AS262" i="2"/>
  <c r="AR262" i="2"/>
  <c r="AQ262" i="2"/>
  <c r="AO262" i="2"/>
  <c r="AN262" i="2"/>
  <c r="AM262" i="2"/>
  <c r="AL262" i="2"/>
  <c r="AK262" i="2"/>
  <c r="AJ262" i="2"/>
  <c r="AI262" i="2"/>
  <c r="AH262" i="2"/>
  <c r="AG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T261" i="2"/>
  <c r="AS261" i="2"/>
  <c r="AR261" i="2"/>
  <c r="AQ261" i="2"/>
  <c r="AO261" i="2"/>
  <c r="AN261" i="2"/>
  <c r="AM261" i="2"/>
  <c r="AL261" i="2"/>
  <c r="AK261" i="2"/>
  <c r="AJ261" i="2"/>
  <c r="AI261" i="2"/>
  <c r="AH261" i="2"/>
  <c r="AG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T260" i="2"/>
  <c r="AS260" i="2"/>
  <c r="AR260" i="2"/>
  <c r="AQ260" i="2"/>
  <c r="AO260" i="2"/>
  <c r="AN260" i="2"/>
  <c r="AM260" i="2"/>
  <c r="AL260" i="2"/>
  <c r="AK260" i="2"/>
  <c r="AJ260" i="2"/>
  <c r="AI260" i="2"/>
  <c r="AH260" i="2"/>
  <c r="AG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T259" i="2"/>
  <c r="AS259" i="2"/>
  <c r="AR259" i="2"/>
  <c r="AQ259" i="2"/>
  <c r="AO259" i="2"/>
  <c r="AN259" i="2"/>
  <c r="AM259" i="2"/>
  <c r="AL259" i="2"/>
  <c r="AK259" i="2"/>
  <c r="AJ259" i="2"/>
  <c r="AI259" i="2"/>
  <c r="AH259" i="2"/>
  <c r="AG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T258" i="2"/>
  <c r="AS258" i="2"/>
  <c r="AR258" i="2"/>
  <c r="AQ258" i="2"/>
  <c r="AO258" i="2"/>
  <c r="AN258" i="2"/>
  <c r="AM258" i="2"/>
  <c r="AL258" i="2"/>
  <c r="AK258" i="2"/>
  <c r="AJ258" i="2"/>
  <c r="AI258" i="2"/>
  <c r="AH258" i="2"/>
  <c r="AG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T257" i="2"/>
  <c r="AS257" i="2"/>
  <c r="AR257" i="2"/>
  <c r="AQ257" i="2"/>
  <c r="AO257" i="2"/>
  <c r="AN257" i="2"/>
  <c r="AM257" i="2"/>
  <c r="AL257" i="2"/>
  <c r="AK257" i="2"/>
  <c r="AJ257" i="2"/>
  <c r="AI257" i="2"/>
  <c r="AH257" i="2"/>
  <c r="AG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T256" i="2"/>
  <c r="AS256" i="2"/>
  <c r="AR256" i="2"/>
  <c r="AQ256" i="2"/>
  <c r="AO256" i="2"/>
  <c r="AN256" i="2"/>
  <c r="AM256" i="2"/>
  <c r="AL256" i="2"/>
  <c r="AK256" i="2"/>
  <c r="AJ256" i="2"/>
  <c r="AI256" i="2"/>
  <c r="AH256" i="2"/>
  <c r="AG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T255" i="2"/>
  <c r="AS255" i="2"/>
  <c r="AR255" i="2"/>
  <c r="AQ255" i="2"/>
  <c r="AO255" i="2"/>
  <c r="AN255" i="2"/>
  <c r="AM255" i="2"/>
  <c r="AL255" i="2"/>
  <c r="AK255" i="2"/>
  <c r="AJ255" i="2"/>
  <c r="AI255" i="2"/>
  <c r="AH255" i="2"/>
  <c r="AG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T254" i="2"/>
  <c r="AS254" i="2"/>
  <c r="AR254" i="2"/>
  <c r="AQ254" i="2"/>
  <c r="AO254" i="2"/>
  <c r="AN254" i="2"/>
  <c r="AM254" i="2"/>
  <c r="AL254" i="2"/>
  <c r="AK254" i="2"/>
  <c r="AJ254" i="2"/>
  <c r="AI254" i="2"/>
  <c r="AH254" i="2"/>
  <c r="AG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T253" i="2"/>
  <c r="AS253" i="2"/>
  <c r="AR253" i="2"/>
  <c r="AQ253" i="2"/>
  <c r="AO253" i="2"/>
  <c r="AN253" i="2"/>
  <c r="AM253" i="2"/>
  <c r="AL253" i="2"/>
  <c r="AK253" i="2"/>
  <c r="AJ253" i="2"/>
  <c r="AI253" i="2"/>
  <c r="AH253" i="2"/>
  <c r="AG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T252" i="2"/>
  <c r="AS252" i="2"/>
  <c r="AR252" i="2"/>
  <c r="AQ252" i="2"/>
  <c r="AO252" i="2"/>
  <c r="AN252" i="2"/>
  <c r="AM252" i="2"/>
  <c r="AL252" i="2"/>
  <c r="AK252" i="2"/>
  <c r="AJ252" i="2"/>
  <c r="AI252" i="2"/>
  <c r="AH252" i="2"/>
  <c r="AG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T251" i="2"/>
  <c r="AS251" i="2"/>
  <c r="AR251" i="2"/>
  <c r="AQ251" i="2"/>
  <c r="AO251" i="2"/>
  <c r="AN251" i="2"/>
  <c r="AM251" i="2"/>
  <c r="AL251" i="2"/>
  <c r="AK251" i="2"/>
  <c r="AJ251" i="2"/>
  <c r="AI251" i="2"/>
  <c r="AH251" i="2"/>
  <c r="AG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T250" i="2"/>
  <c r="AS250" i="2"/>
  <c r="AR250" i="2"/>
  <c r="AQ250" i="2"/>
  <c r="AO250" i="2"/>
  <c r="AN250" i="2"/>
  <c r="AM250" i="2"/>
  <c r="AL250" i="2"/>
  <c r="AK250" i="2"/>
  <c r="AJ250" i="2"/>
  <c r="AI250" i="2"/>
  <c r="AH250" i="2"/>
  <c r="AG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T249" i="2"/>
  <c r="AS249" i="2"/>
  <c r="AR249" i="2"/>
  <c r="AQ249" i="2"/>
  <c r="AO249" i="2"/>
  <c r="AN249" i="2"/>
  <c r="AM249" i="2"/>
  <c r="AL249" i="2"/>
  <c r="AK249" i="2"/>
  <c r="AJ249" i="2"/>
  <c r="AI249" i="2"/>
  <c r="AH249" i="2"/>
  <c r="AG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T248" i="2"/>
  <c r="AS248" i="2"/>
  <c r="AR248" i="2"/>
  <c r="AQ248" i="2"/>
  <c r="AO248" i="2"/>
  <c r="AN248" i="2"/>
  <c r="AM248" i="2"/>
  <c r="AL248" i="2"/>
  <c r="AK248" i="2"/>
  <c r="AJ248" i="2"/>
  <c r="AI248" i="2"/>
  <c r="AH248" i="2"/>
  <c r="AG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T247" i="2"/>
  <c r="AS247" i="2"/>
  <c r="AR247" i="2"/>
  <c r="AQ247" i="2"/>
  <c r="AO247" i="2"/>
  <c r="AN247" i="2"/>
  <c r="AM247" i="2"/>
  <c r="AL247" i="2"/>
  <c r="AK247" i="2"/>
  <c r="AJ247" i="2"/>
  <c r="AI247" i="2"/>
  <c r="AH247" i="2"/>
  <c r="AG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T246" i="2"/>
  <c r="AS246" i="2"/>
  <c r="AR246" i="2"/>
  <c r="AQ246" i="2"/>
  <c r="AO246" i="2"/>
  <c r="AN246" i="2"/>
  <c r="AM246" i="2"/>
  <c r="AL246" i="2"/>
  <c r="AK246" i="2"/>
  <c r="AJ246" i="2"/>
  <c r="AI246" i="2"/>
  <c r="AH246" i="2"/>
  <c r="AG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T245" i="2"/>
  <c r="AS245" i="2"/>
  <c r="AR245" i="2"/>
  <c r="AQ245" i="2"/>
  <c r="AO245" i="2"/>
  <c r="AN245" i="2"/>
  <c r="AM245" i="2"/>
  <c r="AL245" i="2"/>
  <c r="AK245" i="2"/>
  <c r="AJ245" i="2"/>
  <c r="AI245" i="2"/>
  <c r="AH245" i="2"/>
  <c r="AG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T244" i="2"/>
  <c r="AS244" i="2"/>
  <c r="AR244" i="2"/>
  <c r="AQ244" i="2"/>
  <c r="AO244" i="2"/>
  <c r="AN244" i="2"/>
  <c r="AM244" i="2"/>
  <c r="AL244" i="2"/>
  <c r="AK244" i="2"/>
  <c r="AJ244" i="2"/>
  <c r="AI244" i="2"/>
  <c r="AH244" i="2"/>
  <c r="AG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T243" i="2"/>
  <c r="AS243" i="2"/>
  <c r="AR243" i="2"/>
  <c r="AQ243" i="2"/>
  <c r="AO243" i="2"/>
  <c r="AN243" i="2"/>
  <c r="AM243" i="2"/>
  <c r="AL243" i="2"/>
  <c r="AK243" i="2"/>
  <c r="AJ243" i="2"/>
  <c r="AI243" i="2"/>
  <c r="AH243" i="2"/>
  <c r="AG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T242" i="2"/>
  <c r="AS242" i="2"/>
  <c r="AR242" i="2"/>
  <c r="AQ242" i="2"/>
  <c r="AO242" i="2"/>
  <c r="AN242" i="2"/>
  <c r="AM242" i="2"/>
  <c r="AL242" i="2"/>
  <c r="AK242" i="2"/>
  <c r="AJ242" i="2"/>
  <c r="AI242" i="2"/>
  <c r="AH242" i="2"/>
  <c r="AG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T241" i="2"/>
  <c r="AS241" i="2"/>
  <c r="AR241" i="2"/>
  <c r="AQ241" i="2"/>
  <c r="AO241" i="2"/>
  <c r="AN241" i="2"/>
  <c r="AM241" i="2"/>
  <c r="AL241" i="2"/>
  <c r="AK241" i="2"/>
  <c r="AJ241" i="2"/>
  <c r="AI241" i="2"/>
  <c r="AH241" i="2"/>
  <c r="AG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T240" i="2"/>
  <c r="AS240" i="2"/>
  <c r="AR240" i="2"/>
  <c r="AQ240" i="2"/>
  <c r="AO240" i="2"/>
  <c r="AN240" i="2"/>
  <c r="AM240" i="2"/>
  <c r="AL240" i="2"/>
  <c r="AK240" i="2"/>
  <c r="AJ240" i="2"/>
  <c r="AI240" i="2"/>
  <c r="AH240" i="2"/>
  <c r="AG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T239" i="2"/>
  <c r="AS239" i="2"/>
  <c r="AR239" i="2"/>
  <c r="AQ239" i="2"/>
  <c r="AO239" i="2"/>
  <c r="AN239" i="2"/>
  <c r="AM239" i="2"/>
  <c r="AL239" i="2"/>
  <c r="AK239" i="2"/>
  <c r="AJ239" i="2"/>
  <c r="AI239" i="2"/>
  <c r="AH239" i="2"/>
  <c r="AG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T238" i="2"/>
  <c r="AS238" i="2"/>
  <c r="AR238" i="2"/>
  <c r="AQ238" i="2"/>
  <c r="AO238" i="2"/>
  <c r="AN238" i="2"/>
  <c r="AM238" i="2"/>
  <c r="AL238" i="2"/>
  <c r="AK238" i="2"/>
  <c r="AJ238" i="2"/>
  <c r="AI238" i="2"/>
  <c r="AH238" i="2"/>
  <c r="AG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T237" i="2"/>
  <c r="AS237" i="2"/>
  <c r="AR237" i="2"/>
  <c r="AQ237" i="2"/>
  <c r="AO237" i="2"/>
  <c r="AN237" i="2"/>
  <c r="AM237" i="2"/>
  <c r="AL237" i="2"/>
  <c r="AK237" i="2"/>
  <c r="AJ237" i="2"/>
  <c r="AI237" i="2"/>
  <c r="AH237" i="2"/>
  <c r="AG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T236" i="2"/>
  <c r="AS236" i="2"/>
  <c r="AR236" i="2"/>
  <c r="AQ236" i="2"/>
  <c r="AO236" i="2"/>
  <c r="AN236" i="2"/>
  <c r="AM236" i="2"/>
  <c r="AL236" i="2"/>
  <c r="AK236" i="2"/>
  <c r="AJ236" i="2"/>
  <c r="AI236" i="2"/>
  <c r="AH236" i="2"/>
  <c r="AG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T235" i="2"/>
  <c r="AS235" i="2"/>
  <c r="AR235" i="2"/>
  <c r="AQ235" i="2"/>
  <c r="AO235" i="2"/>
  <c r="AN235" i="2"/>
  <c r="AM235" i="2"/>
  <c r="AL235" i="2"/>
  <c r="AK235" i="2"/>
  <c r="AJ235" i="2"/>
  <c r="AI235" i="2"/>
  <c r="AH235" i="2"/>
  <c r="AG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T234" i="2"/>
  <c r="AS234" i="2"/>
  <c r="AR234" i="2"/>
  <c r="AQ234" i="2"/>
  <c r="AO234" i="2"/>
  <c r="AN234" i="2"/>
  <c r="AM234" i="2"/>
  <c r="AL234" i="2"/>
  <c r="AK234" i="2"/>
  <c r="AJ234" i="2"/>
  <c r="AI234" i="2"/>
  <c r="AH234" i="2"/>
  <c r="AG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T233" i="2"/>
  <c r="AS233" i="2"/>
  <c r="AR233" i="2"/>
  <c r="AQ233" i="2"/>
  <c r="AO233" i="2"/>
  <c r="AN233" i="2"/>
  <c r="AM233" i="2"/>
  <c r="AL233" i="2"/>
  <c r="AK233" i="2"/>
  <c r="AJ233" i="2"/>
  <c r="AI233" i="2"/>
  <c r="AH233" i="2"/>
  <c r="AG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T232" i="2"/>
  <c r="AS232" i="2"/>
  <c r="AR232" i="2"/>
  <c r="AQ232" i="2"/>
  <c r="AO232" i="2"/>
  <c r="AN232" i="2"/>
  <c r="AM232" i="2"/>
  <c r="AL232" i="2"/>
  <c r="AK232" i="2"/>
  <c r="AJ232" i="2"/>
  <c r="AI232" i="2"/>
  <c r="AH232" i="2"/>
  <c r="AG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T231" i="2"/>
  <c r="AS231" i="2"/>
  <c r="AR231" i="2"/>
  <c r="AQ231" i="2"/>
  <c r="AO231" i="2"/>
  <c r="AN231" i="2"/>
  <c r="AM231" i="2"/>
  <c r="AL231" i="2"/>
  <c r="AK231" i="2"/>
  <c r="AJ231" i="2"/>
  <c r="AI231" i="2"/>
  <c r="AH231" i="2"/>
  <c r="AG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T230" i="2"/>
  <c r="AS230" i="2"/>
  <c r="AR230" i="2"/>
  <c r="AQ230" i="2"/>
  <c r="AO230" i="2"/>
  <c r="AN230" i="2"/>
  <c r="AM230" i="2"/>
  <c r="AL230" i="2"/>
  <c r="AK230" i="2"/>
  <c r="AJ230" i="2"/>
  <c r="AI230" i="2"/>
  <c r="AH230" i="2"/>
  <c r="AG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T229" i="2"/>
  <c r="AS229" i="2"/>
  <c r="AR229" i="2"/>
  <c r="AQ229" i="2"/>
  <c r="AO229" i="2"/>
  <c r="AN229" i="2"/>
  <c r="AM229" i="2"/>
  <c r="AL229" i="2"/>
  <c r="AK229" i="2"/>
  <c r="AJ229" i="2"/>
  <c r="AI229" i="2"/>
  <c r="AH229" i="2"/>
  <c r="AG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T228" i="2"/>
  <c r="AS228" i="2"/>
  <c r="AR228" i="2"/>
  <c r="AQ228" i="2"/>
  <c r="AO228" i="2"/>
  <c r="AN228" i="2"/>
  <c r="AM228" i="2"/>
  <c r="AL228" i="2"/>
  <c r="AK228" i="2"/>
  <c r="AJ228" i="2"/>
  <c r="AI228" i="2"/>
  <c r="AH228" i="2"/>
  <c r="AG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T227" i="2"/>
  <c r="AS227" i="2"/>
  <c r="AR227" i="2"/>
  <c r="AQ227" i="2"/>
  <c r="AO227" i="2"/>
  <c r="AN227" i="2"/>
  <c r="AM227" i="2"/>
  <c r="AL227" i="2"/>
  <c r="AK227" i="2"/>
  <c r="AJ227" i="2"/>
  <c r="AI227" i="2"/>
  <c r="AH227" i="2"/>
  <c r="AG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T226" i="2"/>
  <c r="AS226" i="2"/>
  <c r="AR226" i="2"/>
  <c r="AQ226" i="2"/>
  <c r="AO226" i="2"/>
  <c r="AN226" i="2"/>
  <c r="AM226" i="2"/>
  <c r="AL226" i="2"/>
  <c r="AK226" i="2"/>
  <c r="AJ226" i="2"/>
  <c r="AI226" i="2"/>
  <c r="AH226" i="2"/>
  <c r="AG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T225" i="2"/>
  <c r="AS225" i="2"/>
  <c r="AR225" i="2"/>
  <c r="AQ225" i="2"/>
  <c r="AO225" i="2"/>
  <c r="AN225" i="2"/>
  <c r="AM225" i="2"/>
  <c r="AL225" i="2"/>
  <c r="AK225" i="2"/>
  <c r="AJ225" i="2"/>
  <c r="AI225" i="2"/>
  <c r="AH225" i="2"/>
  <c r="AG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T224" i="2"/>
  <c r="AS224" i="2"/>
  <c r="AR224" i="2"/>
  <c r="AQ224" i="2"/>
  <c r="AO224" i="2"/>
  <c r="AN224" i="2"/>
  <c r="AM224" i="2"/>
  <c r="AL224" i="2"/>
  <c r="AK224" i="2"/>
  <c r="AJ224" i="2"/>
  <c r="AI224" i="2"/>
  <c r="AH224" i="2"/>
  <c r="AG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T223" i="2"/>
  <c r="AS223" i="2"/>
  <c r="AR223" i="2"/>
  <c r="AQ223" i="2"/>
  <c r="AO223" i="2"/>
  <c r="AN223" i="2"/>
  <c r="AM223" i="2"/>
  <c r="AL223" i="2"/>
  <c r="AK223" i="2"/>
  <c r="AJ223" i="2"/>
  <c r="AI223" i="2"/>
  <c r="AH223" i="2"/>
  <c r="AG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T222" i="2"/>
  <c r="AS222" i="2"/>
  <c r="AR222" i="2"/>
  <c r="AQ222" i="2"/>
  <c r="AO222" i="2"/>
  <c r="AN222" i="2"/>
  <c r="AM222" i="2"/>
  <c r="AL222" i="2"/>
  <c r="AK222" i="2"/>
  <c r="AJ222" i="2"/>
  <c r="AI222" i="2"/>
  <c r="AH222" i="2"/>
  <c r="AG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T221" i="2"/>
  <c r="AS221" i="2"/>
  <c r="AR221" i="2"/>
  <c r="AQ221" i="2"/>
  <c r="AO221" i="2"/>
  <c r="AN221" i="2"/>
  <c r="AM221" i="2"/>
  <c r="AL221" i="2"/>
  <c r="AK221" i="2"/>
  <c r="AJ221" i="2"/>
  <c r="AI221" i="2"/>
  <c r="AH221" i="2"/>
  <c r="AG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T220" i="2"/>
  <c r="AS220" i="2"/>
  <c r="AR220" i="2"/>
  <c r="AQ220" i="2"/>
  <c r="AO220" i="2"/>
  <c r="AN220" i="2"/>
  <c r="AM220" i="2"/>
  <c r="AL220" i="2"/>
  <c r="AK220" i="2"/>
  <c r="AJ220" i="2"/>
  <c r="AI220" i="2"/>
  <c r="AH220" i="2"/>
  <c r="AG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T219" i="2"/>
  <c r="AS219" i="2"/>
  <c r="AR219" i="2"/>
  <c r="AQ219" i="2"/>
  <c r="AO219" i="2"/>
  <c r="AN219" i="2"/>
  <c r="AM219" i="2"/>
  <c r="AL219" i="2"/>
  <c r="AK219" i="2"/>
  <c r="AJ219" i="2"/>
  <c r="AI219" i="2"/>
  <c r="AH219" i="2"/>
  <c r="AG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T218" i="2"/>
  <c r="AS218" i="2"/>
  <c r="AR218" i="2"/>
  <c r="AQ218" i="2"/>
  <c r="AO218" i="2"/>
  <c r="AN218" i="2"/>
  <c r="AM218" i="2"/>
  <c r="AL218" i="2"/>
  <c r="AK218" i="2"/>
  <c r="AJ218" i="2"/>
  <c r="AI218" i="2"/>
  <c r="AH218" i="2"/>
  <c r="AG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T217" i="2"/>
  <c r="AS217" i="2"/>
  <c r="AR217" i="2"/>
  <c r="AQ217" i="2"/>
  <c r="AO217" i="2"/>
  <c r="AN217" i="2"/>
  <c r="AM217" i="2"/>
  <c r="AL217" i="2"/>
  <c r="AK217" i="2"/>
  <c r="AJ217" i="2"/>
  <c r="AI217" i="2"/>
  <c r="AH217" i="2"/>
  <c r="AG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T216" i="2"/>
  <c r="AS216" i="2"/>
  <c r="AR216" i="2"/>
  <c r="AQ216" i="2"/>
  <c r="AO216" i="2"/>
  <c r="AN216" i="2"/>
  <c r="AM216" i="2"/>
  <c r="AL216" i="2"/>
  <c r="AK216" i="2"/>
  <c r="AJ216" i="2"/>
  <c r="AI216" i="2"/>
  <c r="AH216" i="2"/>
  <c r="AG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T215" i="2"/>
  <c r="AS215" i="2"/>
  <c r="AR215" i="2"/>
  <c r="AQ215" i="2"/>
  <c r="AO215" i="2"/>
  <c r="AN215" i="2"/>
  <c r="AM215" i="2"/>
  <c r="AL215" i="2"/>
  <c r="AK215" i="2"/>
  <c r="AJ215" i="2"/>
  <c r="AI215" i="2"/>
  <c r="AH215" i="2"/>
  <c r="AG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T214" i="2"/>
  <c r="AS214" i="2"/>
  <c r="AR214" i="2"/>
  <c r="AQ214" i="2"/>
  <c r="AO214" i="2"/>
  <c r="AN214" i="2"/>
  <c r="AM214" i="2"/>
  <c r="AL214" i="2"/>
  <c r="AK214" i="2"/>
  <c r="AJ214" i="2"/>
  <c r="AI214" i="2"/>
  <c r="AH214" i="2"/>
  <c r="AG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T213" i="2"/>
  <c r="AS213" i="2"/>
  <c r="AR213" i="2"/>
  <c r="AQ213" i="2"/>
  <c r="AO213" i="2"/>
  <c r="AN213" i="2"/>
  <c r="AM213" i="2"/>
  <c r="AL213" i="2"/>
  <c r="AK213" i="2"/>
  <c r="AJ213" i="2"/>
  <c r="AI213" i="2"/>
  <c r="AH213" i="2"/>
  <c r="AG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T212" i="2"/>
  <c r="AS212" i="2"/>
  <c r="AR212" i="2"/>
  <c r="AQ212" i="2"/>
  <c r="AO212" i="2"/>
  <c r="AN212" i="2"/>
  <c r="AM212" i="2"/>
  <c r="AL212" i="2"/>
  <c r="AK212" i="2"/>
  <c r="AJ212" i="2"/>
  <c r="AI212" i="2"/>
  <c r="AH212" i="2"/>
  <c r="AG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T211" i="2"/>
  <c r="AS211" i="2"/>
  <c r="AR211" i="2"/>
  <c r="AQ211" i="2"/>
  <c r="AO211" i="2"/>
  <c r="AN211" i="2"/>
  <c r="AM211" i="2"/>
  <c r="AL211" i="2"/>
  <c r="AK211" i="2"/>
  <c r="AJ211" i="2"/>
  <c r="AI211" i="2"/>
  <c r="AH211" i="2"/>
  <c r="AG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T210" i="2"/>
  <c r="AS210" i="2"/>
  <c r="AR210" i="2"/>
  <c r="AQ210" i="2"/>
  <c r="AO210" i="2"/>
  <c r="AN210" i="2"/>
  <c r="AM210" i="2"/>
  <c r="AL210" i="2"/>
  <c r="AK210" i="2"/>
  <c r="AJ210" i="2"/>
  <c r="AI210" i="2"/>
  <c r="AH210" i="2"/>
  <c r="AG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T209" i="2"/>
  <c r="AS209" i="2"/>
  <c r="AR209" i="2"/>
  <c r="AQ209" i="2"/>
  <c r="AO209" i="2"/>
  <c r="AN209" i="2"/>
  <c r="AM209" i="2"/>
  <c r="AL209" i="2"/>
  <c r="AK209" i="2"/>
  <c r="AJ209" i="2"/>
  <c r="AI209" i="2"/>
  <c r="AH209" i="2"/>
  <c r="AG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T208" i="2"/>
  <c r="AS208" i="2"/>
  <c r="AR208" i="2"/>
  <c r="AQ208" i="2"/>
  <c r="AO208" i="2"/>
  <c r="AN208" i="2"/>
  <c r="AM208" i="2"/>
  <c r="AL208" i="2"/>
  <c r="AK208" i="2"/>
  <c r="AJ208" i="2"/>
  <c r="AI208" i="2"/>
  <c r="AH208" i="2"/>
  <c r="AG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T207" i="2"/>
  <c r="AS207" i="2"/>
  <c r="AR207" i="2"/>
  <c r="AQ207" i="2"/>
  <c r="AO207" i="2"/>
  <c r="AN207" i="2"/>
  <c r="AM207" i="2"/>
  <c r="AL207" i="2"/>
  <c r="AK207" i="2"/>
  <c r="AJ207" i="2"/>
  <c r="AI207" i="2"/>
  <c r="AH207" i="2"/>
  <c r="AG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T206" i="2"/>
  <c r="AS206" i="2"/>
  <c r="AR206" i="2"/>
  <c r="AQ206" i="2"/>
  <c r="AO206" i="2"/>
  <c r="AN206" i="2"/>
  <c r="AM206" i="2"/>
  <c r="AL206" i="2"/>
  <c r="AK206" i="2"/>
  <c r="AJ206" i="2"/>
  <c r="AI206" i="2"/>
  <c r="AH206" i="2"/>
  <c r="AG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T205" i="2"/>
  <c r="AS205" i="2"/>
  <c r="AR205" i="2"/>
  <c r="AQ205" i="2"/>
  <c r="AO205" i="2"/>
  <c r="AN205" i="2"/>
  <c r="AM205" i="2"/>
  <c r="AL205" i="2"/>
  <c r="AK205" i="2"/>
  <c r="AJ205" i="2"/>
  <c r="AI205" i="2"/>
  <c r="AH205" i="2"/>
  <c r="AG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T204" i="2"/>
  <c r="AS204" i="2"/>
  <c r="AR204" i="2"/>
  <c r="AQ204" i="2"/>
  <c r="AO204" i="2"/>
  <c r="AN204" i="2"/>
  <c r="AM204" i="2"/>
  <c r="AL204" i="2"/>
  <c r="AK204" i="2"/>
  <c r="AJ204" i="2"/>
  <c r="AI204" i="2"/>
  <c r="AH204" i="2"/>
  <c r="AG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T203" i="2"/>
  <c r="AS203" i="2"/>
  <c r="AR203" i="2"/>
  <c r="AQ203" i="2"/>
  <c r="AO203" i="2"/>
  <c r="AN203" i="2"/>
  <c r="AM203" i="2"/>
  <c r="AL203" i="2"/>
  <c r="AK203" i="2"/>
  <c r="AJ203" i="2"/>
  <c r="AI203" i="2"/>
  <c r="AH203" i="2"/>
  <c r="AG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T202" i="2"/>
  <c r="AS202" i="2"/>
  <c r="AR202" i="2"/>
  <c r="AQ202" i="2"/>
  <c r="AO202" i="2"/>
  <c r="AN202" i="2"/>
  <c r="AM202" i="2"/>
  <c r="AL202" i="2"/>
  <c r="AK202" i="2"/>
  <c r="AJ202" i="2"/>
  <c r="AI202" i="2"/>
  <c r="AH202" i="2"/>
  <c r="AG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T201" i="2"/>
  <c r="AS201" i="2"/>
  <c r="AR201" i="2"/>
  <c r="AQ201" i="2"/>
  <c r="AO201" i="2"/>
  <c r="AN201" i="2"/>
  <c r="AM201" i="2"/>
  <c r="AL201" i="2"/>
  <c r="AK201" i="2"/>
  <c r="AJ201" i="2"/>
  <c r="AI201" i="2"/>
  <c r="AH201" i="2"/>
  <c r="AG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T200" i="2"/>
  <c r="AS200" i="2"/>
  <c r="AR200" i="2"/>
  <c r="AQ200" i="2"/>
  <c r="AO200" i="2"/>
  <c r="AN200" i="2"/>
  <c r="AM200" i="2"/>
  <c r="AL200" i="2"/>
  <c r="AK200" i="2"/>
  <c r="AJ200" i="2"/>
  <c r="AI200" i="2"/>
  <c r="AH200" i="2"/>
  <c r="AG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T199" i="2"/>
  <c r="AS199" i="2"/>
  <c r="AR199" i="2"/>
  <c r="AQ199" i="2"/>
  <c r="AO199" i="2"/>
  <c r="AN199" i="2"/>
  <c r="AM199" i="2"/>
  <c r="AL199" i="2"/>
  <c r="AK199" i="2"/>
  <c r="AJ199" i="2"/>
  <c r="AI199" i="2"/>
  <c r="AH199" i="2"/>
  <c r="AG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T198" i="2"/>
  <c r="AS198" i="2"/>
  <c r="AR198" i="2"/>
  <c r="AQ198" i="2"/>
  <c r="AO198" i="2"/>
  <c r="AN198" i="2"/>
  <c r="AM198" i="2"/>
  <c r="AL198" i="2"/>
  <c r="AK198" i="2"/>
  <c r="AJ198" i="2"/>
  <c r="AI198" i="2"/>
  <c r="AH198" i="2"/>
  <c r="AG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T197" i="2"/>
  <c r="AS197" i="2"/>
  <c r="AR197" i="2"/>
  <c r="AQ197" i="2"/>
  <c r="AO197" i="2"/>
  <c r="AN197" i="2"/>
  <c r="AM197" i="2"/>
  <c r="AL197" i="2"/>
  <c r="AK197" i="2"/>
  <c r="AJ197" i="2"/>
  <c r="AI197" i="2"/>
  <c r="AH197" i="2"/>
  <c r="AG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T196" i="2"/>
  <c r="AS196" i="2"/>
  <c r="AR196" i="2"/>
  <c r="AQ196" i="2"/>
  <c r="AO196" i="2"/>
  <c r="AN196" i="2"/>
  <c r="AM196" i="2"/>
  <c r="AL196" i="2"/>
  <c r="AK196" i="2"/>
  <c r="AJ196" i="2"/>
  <c r="AI196" i="2"/>
  <c r="AH196" i="2"/>
  <c r="AG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T195" i="2"/>
  <c r="AS195" i="2"/>
  <c r="AR195" i="2"/>
  <c r="AQ195" i="2"/>
  <c r="AO195" i="2"/>
  <c r="AN195" i="2"/>
  <c r="AM195" i="2"/>
  <c r="AL195" i="2"/>
  <c r="AK195" i="2"/>
  <c r="AJ195" i="2"/>
  <c r="AI195" i="2"/>
  <c r="AH195" i="2"/>
  <c r="AG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C195" i="2"/>
  <c r="B195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T194" i="2"/>
  <c r="AS194" i="2"/>
  <c r="AR194" i="2"/>
  <c r="AQ194" i="2"/>
  <c r="AO194" i="2"/>
  <c r="AN194" i="2"/>
  <c r="AM194" i="2"/>
  <c r="AL194" i="2"/>
  <c r="AK194" i="2"/>
  <c r="AJ194" i="2"/>
  <c r="AI194" i="2"/>
  <c r="AH194" i="2"/>
  <c r="AG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C194" i="2"/>
  <c r="B194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T193" i="2"/>
  <c r="AS193" i="2"/>
  <c r="AR193" i="2"/>
  <c r="AQ193" i="2"/>
  <c r="AO193" i="2"/>
  <c r="AN193" i="2"/>
  <c r="AM193" i="2"/>
  <c r="AL193" i="2"/>
  <c r="AK193" i="2"/>
  <c r="AJ193" i="2"/>
  <c r="AI193" i="2"/>
  <c r="AH193" i="2"/>
  <c r="AG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C193" i="2"/>
  <c r="B193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T192" i="2"/>
  <c r="AS192" i="2"/>
  <c r="AR192" i="2"/>
  <c r="AQ192" i="2"/>
  <c r="AO192" i="2"/>
  <c r="AN192" i="2"/>
  <c r="AM192" i="2"/>
  <c r="AL192" i="2"/>
  <c r="AK192" i="2"/>
  <c r="AJ192" i="2"/>
  <c r="AI192" i="2"/>
  <c r="AH192" i="2"/>
  <c r="AG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C192" i="2"/>
  <c r="B192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T191" i="2"/>
  <c r="AS191" i="2"/>
  <c r="AR191" i="2"/>
  <c r="AQ191" i="2"/>
  <c r="AO191" i="2"/>
  <c r="AN191" i="2"/>
  <c r="AM191" i="2"/>
  <c r="AL191" i="2"/>
  <c r="AK191" i="2"/>
  <c r="AJ191" i="2"/>
  <c r="AI191" i="2"/>
  <c r="AH191" i="2"/>
  <c r="AG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C191" i="2"/>
  <c r="B191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T190" i="2"/>
  <c r="AS190" i="2"/>
  <c r="AR190" i="2"/>
  <c r="AQ190" i="2"/>
  <c r="AO190" i="2"/>
  <c r="AN190" i="2"/>
  <c r="AM190" i="2"/>
  <c r="AL190" i="2"/>
  <c r="AK190" i="2"/>
  <c r="AJ190" i="2"/>
  <c r="AI190" i="2"/>
  <c r="AH190" i="2"/>
  <c r="AG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C190" i="2"/>
  <c r="B190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T189" i="2"/>
  <c r="AS189" i="2"/>
  <c r="AR189" i="2"/>
  <c r="AQ189" i="2"/>
  <c r="AO189" i="2"/>
  <c r="AN189" i="2"/>
  <c r="AM189" i="2"/>
  <c r="AL189" i="2"/>
  <c r="AK189" i="2"/>
  <c r="AJ189" i="2"/>
  <c r="AI189" i="2"/>
  <c r="AH189" i="2"/>
  <c r="AG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C189" i="2"/>
  <c r="B189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T188" i="2"/>
  <c r="AS188" i="2"/>
  <c r="AR188" i="2"/>
  <c r="AQ188" i="2"/>
  <c r="AO188" i="2"/>
  <c r="AN188" i="2"/>
  <c r="AL188" i="2"/>
  <c r="AK188" i="2"/>
  <c r="AJ188" i="2"/>
  <c r="AI188" i="2"/>
  <c r="AH188" i="2"/>
  <c r="AG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C188" i="2"/>
  <c r="B188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T187" i="2"/>
  <c r="AS187" i="2"/>
  <c r="AR187" i="2"/>
  <c r="AQ187" i="2"/>
  <c r="AO187" i="2"/>
  <c r="AN187" i="2"/>
  <c r="AM187" i="2"/>
  <c r="AL187" i="2"/>
  <c r="AK187" i="2"/>
  <c r="AJ187" i="2"/>
  <c r="AI187" i="2"/>
  <c r="AH187" i="2"/>
  <c r="AG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C187" i="2"/>
  <c r="B187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T186" i="2"/>
  <c r="AS186" i="2"/>
  <c r="AR186" i="2"/>
  <c r="AQ186" i="2"/>
  <c r="AO186" i="2"/>
  <c r="AN186" i="2"/>
  <c r="AM186" i="2"/>
  <c r="AL186" i="2"/>
  <c r="AK186" i="2"/>
  <c r="AJ186" i="2"/>
  <c r="AI186" i="2"/>
  <c r="AH186" i="2"/>
  <c r="AG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C186" i="2"/>
  <c r="B186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T185" i="2"/>
  <c r="AS185" i="2"/>
  <c r="AR185" i="2"/>
  <c r="AQ185" i="2"/>
  <c r="AO185" i="2"/>
  <c r="AN185" i="2"/>
  <c r="AM185" i="2"/>
  <c r="AL185" i="2"/>
  <c r="AK185" i="2"/>
  <c r="AJ185" i="2"/>
  <c r="AI185" i="2"/>
  <c r="AH185" i="2"/>
  <c r="AG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C185" i="2"/>
  <c r="B185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T184" i="2"/>
  <c r="AS184" i="2"/>
  <c r="AR184" i="2"/>
  <c r="AQ184" i="2"/>
  <c r="AO184" i="2"/>
  <c r="AN184" i="2"/>
  <c r="AM184" i="2"/>
  <c r="AL184" i="2"/>
  <c r="AK184" i="2"/>
  <c r="AJ184" i="2"/>
  <c r="AI184" i="2"/>
  <c r="AH184" i="2"/>
  <c r="AG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C184" i="2"/>
  <c r="B184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T183" i="2"/>
  <c r="AS183" i="2"/>
  <c r="AR183" i="2"/>
  <c r="AQ183" i="2"/>
  <c r="AO183" i="2"/>
  <c r="AN183" i="2"/>
  <c r="AM183" i="2"/>
  <c r="AL183" i="2"/>
  <c r="AK183" i="2"/>
  <c r="AJ183" i="2"/>
  <c r="AI183" i="2"/>
  <c r="AH183" i="2"/>
  <c r="AG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C183" i="2"/>
  <c r="B183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T182" i="2"/>
  <c r="AS182" i="2"/>
  <c r="AR182" i="2"/>
  <c r="AQ182" i="2"/>
  <c r="AO182" i="2"/>
  <c r="AN182" i="2"/>
  <c r="AM182" i="2"/>
  <c r="AL182" i="2"/>
  <c r="AK182" i="2"/>
  <c r="AJ182" i="2"/>
  <c r="AI182" i="2"/>
  <c r="AH182" i="2"/>
  <c r="AG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C182" i="2"/>
  <c r="B182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T181" i="2"/>
  <c r="AS181" i="2"/>
  <c r="AR181" i="2"/>
  <c r="AQ181" i="2"/>
  <c r="AO181" i="2"/>
  <c r="AN181" i="2"/>
  <c r="AM181" i="2"/>
  <c r="AL181" i="2"/>
  <c r="AK181" i="2"/>
  <c r="AJ181" i="2"/>
  <c r="AI181" i="2"/>
  <c r="AH181" i="2"/>
  <c r="AG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C181" i="2"/>
  <c r="B181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T180" i="2"/>
  <c r="AS180" i="2"/>
  <c r="AR180" i="2"/>
  <c r="AQ180" i="2"/>
  <c r="AO180" i="2"/>
  <c r="AN180" i="2"/>
  <c r="AL180" i="2"/>
  <c r="AK180" i="2"/>
  <c r="AJ180" i="2"/>
  <c r="AI180" i="2"/>
  <c r="AH180" i="2"/>
  <c r="AG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C180" i="2"/>
  <c r="B180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T179" i="2"/>
  <c r="AS179" i="2"/>
  <c r="AR179" i="2"/>
  <c r="AQ179" i="2"/>
  <c r="AO179" i="2"/>
  <c r="AN179" i="2"/>
  <c r="AL179" i="2"/>
  <c r="AK179" i="2"/>
  <c r="AJ179" i="2"/>
  <c r="AI179" i="2"/>
  <c r="AH179" i="2"/>
  <c r="AG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C179" i="2"/>
  <c r="B179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T178" i="2"/>
  <c r="AS178" i="2"/>
  <c r="AR178" i="2"/>
  <c r="AQ178" i="2"/>
  <c r="AO178" i="2"/>
  <c r="AN178" i="2"/>
  <c r="AL178" i="2"/>
  <c r="AK178" i="2"/>
  <c r="AJ178" i="2"/>
  <c r="AI178" i="2"/>
  <c r="AH178" i="2"/>
  <c r="AG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C178" i="2"/>
  <c r="B178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T177" i="2"/>
  <c r="AS177" i="2"/>
  <c r="AR177" i="2"/>
  <c r="AQ177" i="2"/>
  <c r="AO177" i="2"/>
  <c r="AN177" i="2"/>
  <c r="AM177" i="2"/>
  <c r="AL177" i="2"/>
  <c r="AK177" i="2"/>
  <c r="AJ177" i="2"/>
  <c r="AI177" i="2"/>
  <c r="AH177" i="2"/>
  <c r="AG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C177" i="2"/>
  <c r="B177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T176" i="2"/>
  <c r="AS176" i="2"/>
  <c r="AR176" i="2"/>
  <c r="AQ176" i="2"/>
  <c r="AO176" i="2"/>
  <c r="AN176" i="2"/>
  <c r="AM176" i="2"/>
  <c r="AL176" i="2"/>
  <c r="AK176" i="2"/>
  <c r="AJ176" i="2"/>
  <c r="AI176" i="2"/>
  <c r="AH176" i="2"/>
  <c r="AG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C176" i="2"/>
  <c r="B176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T175" i="2"/>
  <c r="AS175" i="2"/>
  <c r="AR175" i="2"/>
  <c r="AQ175" i="2"/>
  <c r="AO175" i="2"/>
  <c r="AN175" i="2"/>
  <c r="AM175" i="2"/>
  <c r="AL175" i="2"/>
  <c r="AK175" i="2"/>
  <c r="AJ175" i="2"/>
  <c r="AI175" i="2"/>
  <c r="AH175" i="2"/>
  <c r="AG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C175" i="2"/>
  <c r="B175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T174" i="2"/>
  <c r="AS174" i="2"/>
  <c r="AR174" i="2"/>
  <c r="AQ174" i="2"/>
  <c r="AO174" i="2"/>
  <c r="AN174" i="2"/>
  <c r="AM174" i="2"/>
  <c r="AL174" i="2"/>
  <c r="AK174" i="2"/>
  <c r="AJ174" i="2"/>
  <c r="AI174" i="2"/>
  <c r="AH174" i="2"/>
  <c r="AG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C174" i="2"/>
  <c r="B174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T173" i="2"/>
  <c r="AS173" i="2"/>
  <c r="AR173" i="2"/>
  <c r="AQ173" i="2"/>
  <c r="AO173" i="2"/>
  <c r="AN173" i="2"/>
  <c r="AM173" i="2"/>
  <c r="AL173" i="2"/>
  <c r="AK173" i="2"/>
  <c r="AJ173" i="2"/>
  <c r="AI173" i="2"/>
  <c r="AH173" i="2"/>
  <c r="AG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C173" i="2"/>
  <c r="B173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T172" i="2"/>
  <c r="AS172" i="2"/>
  <c r="AR172" i="2"/>
  <c r="AQ172" i="2"/>
  <c r="AO172" i="2"/>
  <c r="AN172" i="2"/>
  <c r="AM172" i="2"/>
  <c r="AL172" i="2"/>
  <c r="AK172" i="2"/>
  <c r="AJ172" i="2"/>
  <c r="AI172" i="2"/>
  <c r="AH172" i="2"/>
  <c r="AG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C172" i="2"/>
  <c r="B172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T171" i="2"/>
  <c r="AS171" i="2"/>
  <c r="AR171" i="2"/>
  <c r="AQ171" i="2"/>
  <c r="AO171" i="2"/>
  <c r="AN171" i="2"/>
  <c r="AM171" i="2"/>
  <c r="AL171" i="2"/>
  <c r="AK171" i="2"/>
  <c r="AJ171" i="2"/>
  <c r="AI171" i="2"/>
  <c r="AH171" i="2"/>
  <c r="AG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C171" i="2"/>
  <c r="B171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T170" i="2"/>
  <c r="AS170" i="2"/>
  <c r="AR170" i="2"/>
  <c r="AQ170" i="2"/>
  <c r="AO170" i="2"/>
  <c r="AN170" i="2"/>
  <c r="AM170" i="2"/>
  <c r="AL170" i="2"/>
  <c r="AK170" i="2"/>
  <c r="AJ170" i="2"/>
  <c r="AI170" i="2"/>
  <c r="AH170" i="2"/>
  <c r="AG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C170" i="2"/>
  <c r="B170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T169" i="2"/>
  <c r="AS169" i="2"/>
  <c r="AR169" i="2"/>
  <c r="AQ169" i="2"/>
  <c r="AO169" i="2"/>
  <c r="AN169" i="2"/>
  <c r="AM169" i="2"/>
  <c r="AL169" i="2"/>
  <c r="AK169" i="2"/>
  <c r="AJ169" i="2"/>
  <c r="AI169" i="2"/>
  <c r="AH169" i="2"/>
  <c r="AG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C169" i="2"/>
  <c r="B169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T168" i="2"/>
  <c r="AS168" i="2"/>
  <c r="AR168" i="2"/>
  <c r="AQ168" i="2"/>
  <c r="AO168" i="2"/>
  <c r="AN168" i="2"/>
  <c r="AM168" i="2"/>
  <c r="AL168" i="2"/>
  <c r="AK168" i="2"/>
  <c r="AJ168" i="2"/>
  <c r="AI168" i="2"/>
  <c r="AH168" i="2"/>
  <c r="AG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C168" i="2"/>
  <c r="B168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T167" i="2"/>
  <c r="AS167" i="2"/>
  <c r="AR167" i="2"/>
  <c r="AQ167" i="2"/>
  <c r="AO167" i="2"/>
  <c r="AN167" i="2"/>
  <c r="AM167" i="2"/>
  <c r="AL167" i="2"/>
  <c r="AK167" i="2"/>
  <c r="AJ167" i="2"/>
  <c r="AI167" i="2"/>
  <c r="AH167" i="2"/>
  <c r="AG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C167" i="2"/>
  <c r="B167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T166" i="2"/>
  <c r="AS166" i="2"/>
  <c r="AR166" i="2"/>
  <c r="AQ166" i="2"/>
  <c r="AO166" i="2"/>
  <c r="AN166" i="2"/>
  <c r="AM166" i="2"/>
  <c r="AL166" i="2"/>
  <c r="AK166" i="2"/>
  <c r="AJ166" i="2"/>
  <c r="AI166" i="2"/>
  <c r="AH166" i="2"/>
  <c r="AG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C166" i="2"/>
  <c r="B166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T165" i="2"/>
  <c r="AS165" i="2"/>
  <c r="AR165" i="2"/>
  <c r="AQ165" i="2"/>
  <c r="AO165" i="2"/>
  <c r="AN165" i="2"/>
  <c r="AM165" i="2"/>
  <c r="AL165" i="2"/>
  <c r="AK165" i="2"/>
  <c r="AJ165" i="2"/>
  <c r="AI165" i="2"/>
  <c r="AH165" i="2"/>
  <c r="AG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C165" i="2"/>
  <c r="B165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T164" i="2"/>
  <c r="AS164" i="2"/>
  <c r="AR164" i="2"/>
  <c r="AQ164" i="2"/>
  <c r="AO164" i="2"/>
  <c r="AN164" i="2"/>
  <c r="AM164" i="2"/>
  <c r="AL164" i="2"/>
  <c r="AK164" i="2"/>
  <c r="AJ164" i="2"/>
  <c r="AI164" i="2"/>
  <c r="AH164" i="2"/>
  <c r="AG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C164" i="2"/>
  <c r="B164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T163" i="2"/>
  <c r="AS163" i="2"/>
  <c r="AR163" i="2"/>
  <c r="AQ163" i="2"/>
  <c r="AO163" i="2"/>
  <c r="AN163" i="2"/>
  <c r="AM163" i="2"/>
  <c r="AL163" i="2"/>
  <c r="AK163" i="2"/>
  <c r="AJ163" i="2"/>
  <c r="AI163" i="2"/>
  <c r="AH163" i="2"/>
  <c r="AG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C163" i="2"/>
  <c r="B163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T162" i="2"/>
  <c r="AS162" i="2"/>
  <c r="AR162" i="2"/>
  <c r="AQ162" i="2"/>
  <c r="AO162" i="2"/>
  <c r="AN162" i="2"/>
  <c r="AM162" i="2"/>
  <c r="AL162" i="2"/>
  <c r="AK162" i="2"/>
  <c r="AJ162" i="2"/>
  <c r="AI162" i="2"/>
  <c r="AH162" i="2"/>
  <c r="AG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C162" i="2"/>
  <c r="B162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T161" i="2"/>
  <c r="AS161" i="2"/>
  <c r="AR161" i="2"/>
  <c r="AQ161" i="2"/>
  <c r="AO161" i="2"/>
  <c r="AN161" i="2"/>
  <c r="AM161" i="2"/>
  <c r="AL161" i="2"/>
  <c r="AK161" i="2"/>
  <c r="AJ161" i="2"/>
  <c r="AI161" i="2"/>
  <c r="AH161" i="2"/>
  <c r="AG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C161" i="2"/>
  <c r="B161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T160" i="2"/>
  <c r="AS160" i="2"/>
  <c r="AR160" i="2"/>
  <c r="AQ160" i="2"/>
  <c r="AO160" i="2"/>
  <c r="AN160" i="2"/>
  <c r="AM160" i="2"/>
  <c r="AL160" i="2"/>
  <c r="AK160" i="2"/>
  <c r="AJ160" i="2"/>
  <c r="AI160" i="2"/>
  <c r="AH160" i="2"/>
  <c r="AG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C160" i="2"/>
  <c r="B160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T159" i="2"/>
  <c r="AS159" i="2"/>
  <c r="AR159" i="2"/>
  <c r="AQ159" i="2"/>
  <c r="AO159" i="2"/>
  <c r="AN159" i="2"/>
  <c r="AM159" i="2"/>
  <c r="AL159" i="2"/>
  <c r="AK159" i="2"/>
  <c r="AJ159" i="2"/>
  <c r="AI159" i="2"/>
  <c r="AH159" i="2"/>
  <c r="AG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C159" i="2"/>
  <c r="B159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T158" i="2"/>
  <c r="AS158" i="2"/>
  <c r="AR158" i="2"/>
  <c r="AQ158" i="2"/>
  <c r="AO158" i="2"/>
  <c r="AN158" i="2"/>
  <c r="AM158" i="2"/>
  <c r="AL158" i="2"/>
  <c r="AK158" i="2"/>
  <c r="AJ158" i="2"/>
  <c r="AI158" i="2"/>
  <c r="AH158" i="2"/>
  <c r="AG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C158" i="2"/>
  <c r="B158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T157" i="2"/>
  <c r="AS157" i="2"/>
  <c r="AR157" i="2"/>
  <c r="AQ157" i="2"/>
  <c r="AO157" i="2"/>
  <c r="AN157" i="2"/>
  <c r="AL157" i="2"/>
  <c r="AK157" i="2"/>
  <c r="AJ157" i="2"/>
  <c r="AI157" i="2"/>
  <c r="AH157" i="2"/>
  <c r="AG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C157" i="2"/>
  <c r="B157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T156" i="2"/>
  <c r="AS156" i="2"/>
  <c r="AR156" i="2"/>
  <c r="AQ156" i="2"/>
  <c r="AO156" i="2"/>
  <c r="AN156" i="2"/>
  <c r="AM156" i="2"/>
  <c r="AL156" i="2"/>
  <c r="AK156" i="2"/>
  <c r="AJ156" i="2"/>
  <c r="AI156" i="2"/>
  <c r="AH156" i="2"/>
  <c r="AG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C156" i="2"/>
  <c r="B156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T155" i="2"/>
  <c r="AS155" i="2"/>
  <c r="AR155" i="2"/>
  <c r="AQ155" i="2"/>
  <c r="AO155" i="2"/>
  <c r="AN155" i="2"/>
  <c r="AM155" i="2"/>
  <c r="AL155" i="2"/>
  <c r="AK155" i="2"/>
  <c r="AJ155" i="2"/>
  <c r="AI155" i="2"/>
  <c r="AH155" i="2"/>
  <c r="AG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C155" i="2"/>
  <c r="B155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T154" i="2"/>
  <c r="AS154" i="2"/>
  <c r="AR154" i="2"/>
  <c r="AQ154" i="2"/>
  <c r="AO154" i="2"/>
  <c r="AN154" i="2"/>
  <c r="AM154" i="2"/>
  <c r="AL154" i="2"/>
  <c r="AK154" i="2"/>
  <c r="AJ154" i="2"/>
  <c r="AI154" i="2"/>
  <c r="AH154" i="2"/>
  <c r="AG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C154" i="2"/>
  <c r="B154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T153" i="2"/>
  <c r="AS153" i="2"/>
  <c r="AR153" i="2"/>
  <c r="AQ153" i="2"/>
  <c r="AO153" i="2"/>
  <c r="AN153" i="2"/>
  <c r="AM153" i="2"/>
  <c r="AL153" i="2"/>
  <c r="AK153" i="2"/>
  <c r="AJ153" i="2"/>
  <c r="AI153" i="2"/>
  <c r="AH153" i="2"/>
  <c r="AG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C153" i="2"/>
  <c r="B153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T152" i="2"/>
  <c r="AS152" i="2"/>
  <c r="AR152" i="2"/>
  <c r="AQ152" i="2"/>
  <c r="AO152" i="2"/>
  <c r="AN152" i="2"/>
  <c r="AM152" i="2"/>
  <c r="AL152" i="2"/>
  <c r="AK152" i="2"/>
  <c r="AJ152" i="2"/>
  <c r="AI152" i="2"/>
  <c r="AH152" i="2"/>
  <c r="AG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C152" i="2"/>
  <c r="B152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T151" i="2"/>
  <c r="AS151" i="2"/>
  <c r="AR151" i="2"/>
  <c r="AQ151" i="2"/>
  <c r="AO151" i="2"/>
  <c r="AN151" i="2"/>
  <c r="AM151" i="2"/>
  <c r="AL151" i="2"/>
  <c r="AK151" i="2"/>
  <c r="AJ151" i="2"/>
  <c r="AI151" i="2"/>
  <c r="AH151" i="2"/>
  <c r="AG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C151" i="2"/>
  <c r="B151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T150" i="2"/>
  <c r="AS150" i="2"/>
  <c r="AR150" i="2"/>
  <c r="AQ150" i="2"/>
  <c r="AO150" i="2"/>
  <c r="AN150" i="2"/>
  <c r="AM150" i="2"/>
  <c r="AL150" i="2"/>
  <c r="AK150" i="2"/>
  <c r="AJ150" i="2"/>
  <c r="AI150" i="2"/>
  <c r="AH150" i="2"/>
  <c r="AG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B150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T149" i="2"/>
  <c r="AS149" i="2"/>
  <c r="AR149" i="2"/>
  <c r="AQ149" i="2"/>
  <c r="AO149" i="2"/>
  <c r="AN149" i="2"/>
  <c r="AM149" i="2"/>
  <c r="AL149" i="2"/>
  <c r="AK149" i="2"/>
  <c r="AJ149" i="2"/>
  <c r="AI149" i="2"/>
  <c r="AH149" i="2"/>
  <c r="AG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B149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T148" i="2"/>
  <c r="AS148" i="2"/>
  <c r="AR148" i="2"/>
  <c r="AQ148" i="2"/>
  <c r="AO148" i="2"/>
  <c r="AN148" i="2"/>
  <c r="AM148" i="2"/>
  <c r="AL148" i="2"/>
  <c r="AK148" i="2"/>
  <c r="AJ148" i="2"/>
  <c r="AI148" i="2"/>
  <c r="AH148" i="2"/>
  <c r="AG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B148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T147" i="2"/>
  <c r="AS147" i="2"/>
  <c r="AR147" i="2"/>
  <c r="AQ147" i="2"/>
  <c r="AO147" i="2"/>
  <c r="AN147" i="2"/>
  <c r="AM147" i="2"/>
  <c r="AL147" i="2"/>
  <c r="AK147" i="2"/>
  <c r="AJ147" i="2"/>
  <c r="AI147" i="2"/>
  <c r="AH147" i="2"/>
  <c r="AG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B147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T146" i="2"/>
  <c r="AS146" i="2"/>
  <c r="AR146" i="2"/>
  <c r="AQ146" i="2"/>
  <c r="AO146" i="2"/>
  <c r="AN146" i="2"/>
  <c r="AM146" i="2"/>
  <c r="AL146" i="2"/>
  <c r="AK146" i="2"/>
  <c r="AJ146" i="2"/>
  <c r="AI146" i="2"/>
  <c r="AH146" i="2"/>
  <c r="AG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T145" i="2"/>
  <c r="AS145" i="2"/>
  <c r="AR145" i="2"/>
  <c r="AQ145" i="2"/>
  <c r="AO145" i="2"/>
  <c r="AN145" i="2"/>
  <c r="AM145" i="2"/>
  <c r="AL145" i="2"/>
  <c r="AK145" i="2"/>
  <c r="AJ145" i="2"/>
  <c r="AI145" i="2"/>
  <c r="AH145" i="2"/>
  <c r="AG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T144" i="2"/>
  <c r="AS144" i="2"/>
  <c r="AR144" i="2"/>
  <c r="AQ144" i="2"/>
  <c r="AO144" i="2"/>
  <c r="AN144" i="2"/>
  <c r="AM144" i="2"/>
  <c r="AL144" i="2"/>
  <c r="AK144" i="2"/>
  <c r="AJ144" i="2"/>
  <c r="AI144" i="2"/>
  <c r="AH144" i="2"/>
  <c r="AG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T143" i="2"/>
  <c r="AS143" i="2"/>
  <c r="AR143" i="2"/>
  <c r="AQ143" i="2"/>
  <c r="AO143" i="2"/>
  <c r="AN143" i="2"/>
  <c r="AM143" i="2"/>
  <c r="AL143" i="2"/>
  <c r="AK143" i="2"/>
  <c r="AJ143" i="2"/>
  <c r="AI143" i="2"/>
  <c r="AH143" i="2"/>
  <c r="AG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T142" i="2"/>
  <c r="AS142" i="2"/>
  <c r="AR142" i="2"/>
  <c r="AQ142" i="2"/>
  <c r="AO142" i="2"/>
  <c r="AN142" i="2"/>
  <c r="AM142" i="2"/>
  <c r="AL142" i="2"/>
  <c r="AK142" i="2"/>
  <c r="AJ142" i="2"/>
  <c r="AI142" i="2"/>
  <c r="AH142" i="2"/>
  <c r="AG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T141" i="2"/>
  <c r="AS141" i="2"/>
  <c r="AR141" i="2"/>
  <c r="AQ141" i="2"/>
  <c r="AO141" i="2"/>
  <c r="AN141" i="2"/>
  <c r="AM141" i="2"/>
  <c r="AL141" i="2"/>
  <c r="AK141" i="2"/>
  <c r="AJ141" i="2"/>
  <c r="AI141" i="2"/>
  <c r="AH141" i="2"/>
  <c r="AG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T140" i="2"/>
  <c r="AS140" i="2"/>
  <c r="AR140" i="2"/>
  <c r="AQ140" i="2"/>
  <c r="AO140" i="2"/>
  <c r="AN140" i="2"/>
  <c r="AM140" i="2"/>
  <c r="AL140" i="2"/>
  <c r="AK140" i="2"/>
  <c r="AJ140" i="2"/>
  <c r="AI140" i="2"/>
  <c r="AH140" i="2"/>
  <c r="AG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T139" i="2"/>
  <c r="AS139" i="2"/>
  <c r="AR139" i="2"/>
  <c r="AQ139" i="2"/>
  <c r="AO139" i="2"/>
  <c r="AN139" i="2"/>
  <c r="AM139" i="2"/>
  <c r="AL139" i="2"/>
  <c r="AK139" i="2"/>
  <c r="AJ139" i="2"/>
  <c r="AI139" i="2"/>
  <c r="AH139" i="2"/>
  <c r="AG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T138" i="2"/>
  <c r="AS138" i="2"/>
  <c r="AR138" i="2"/>
  <c r="AQ138" i="2"/>
  <c r="AO138" i="2"/>
  <c r="AN138" i="2"/>
  <c r="AM138" i="2"/>
  <c r="AL138" i="2"/>
  <c r="AK138" i="2"/>
  <c r="AJ138" i="2"/>
  <c r="AI138" i="2"/>
  <c r="AH138" i="2"/>
  <c r="AG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B138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T137" i="2"/>
  <c r="AS137" i="2"/>
  <c r="AR137" i="2"/>
  <c r="AQ137" i="2"/>
  <c r="AO137" i="2"/>
  <c r="AN137" i="2"/>
  <c r="AM137" i="2"/>
  <c r="AL137" i="2"/>
  <c r="AK137" i="2"/>
  <c r="AJ137" i="2"/>
  <c r="AI137" i="2"/>
  <c r="AH137" i="2"/>
  <c r="AG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B137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T136" i="2"/>
  <c r="AS136" i="2"/>
  <c r="AR136" i="2"/>
  <c r="AQ136" i="2"/>
  <c r="AO136" i="2"/>
  <c r="AN136" i="2"/>
  <c r="AM136" i="2"/>
  <c r="AL136" i="2"/>
  <c r="AK136" i="2"/>
  <c r="AJ136" i="2"/>
  <c r="AI136" i="2"/>
  <c r="AH136" i="2"/>
  <c r="AG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B136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T135" i="2"/>
  <c r="AS135" i="2"/>
  <c r="AR135" i="2"/>
  <c r="AQ135" i="2"/>
  <c r="AO135" i="2"/>
  <c r="AN135" i="2"/>
  <c r="AM135" i="2"/>
  <c r="AL135" i="2"/>
  <c r="AK135" i="2"/>
  <c r="AJ135" i="2"/>
  <c r="AI135" i="2"/>
  <c r="AH135" i="2"/>
  <c r="AG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B135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T134" i="2"/>
  <c r="AS134" i="2"/>
  <c r="AR134" i="2"/>
  <c r="AQ134" i="2"/>
  <c r="AO134" i="2"/>
  <c r="AN134" i="2"/>
  <c r="AM134" i="2"/>
  <c r="AL134" i="2"/>
  <c r="AK134" i="2"/>
  <c r="AJ134" i="2"/>
  <c r="AI134" i="2"/>
  <c r="AH134" i="2"/>
  <c r="AG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B134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T133" i="2"/>
  <c r="AS133" i="2"/>
  <c r="AR133" i="2"/>
  <c r="AQ133" i="2"/>
  <c r="AO133" i="2"/>
  <c r="AN133" i="2"/>
  <c r="AL133" i="2"/>
  <c r="AK133" i="2"/>
  <c r="AJ133" i="2"/>
  <c r="AI133" i="2"/>
  <c r="AH133" i="2"/>
  <c r="AG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B133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T132" i="2"/>
  <c r="AS132" i="2"/>
  <c r="AR132" i="2"/>
  <c r="AQ132" i="2"/>
  <c r="AO132" i="2"/>
  <c r="AN132" i="2"/>
  <c r="AL132" i="2"/>
  <c r="AK132" i="2"/>
  <c r="AJ132" i="2"/>
  <c r="AI132" i="2"/>
  <c r="AH132" i="2"/>
  <c r="AG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B132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T131" i="2"/>
  <c r="AS131" i="2"/>
  <c r="AR131" i="2"/>
  <c r="AQ131" i="2"/>
  <c r="AO131" i="2"/>
  <c r="AN131" i="2"/>
  <c r="AL131" i="2"/>
  <c r="AK131" i="2"/>
  <c r="AJ131" i="2"/>
  <c r="AI131" i="2"/>
  <c r="AH131" i="2"/>
  <c r="AG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B131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T130" i="2"/>
  <c r="AS130" i="2"/>
  <c r="AR130" i="2"/>
  <c r="AQ130" i="2"/>
  <c r="AO130" i="2"/>
  <c r="AN130" i="2"/>
  <c r="AL130" i="2"/>
  <c r="AK130" i="2"/>
  <c r="AJ130" i="2"/>
  <c r="AI130" i="2"/>
  <c r="AH130" i="2"/>
  <c r="AG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B130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T129" i="2"/>
  <c r="AS129" i="2"/>
  <c r="AR129" i="2"/>
  <c r="AQ129" i="2"/>
  <c r="AO129" i="2"/>
  <c r="AN129" i="2"/>
  <c r="AL129" i="2"/>
  <c r="AK129" i="2"/>
  <c r="AJ129" i="2"/>
  <c r="AI129" i="2"/>
  <c r="AH129" i="2"/>
  <c r="AG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B129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T128" i="2"/>
  <c r="AS128" i="2"/>
  <c r="AR128" i="2"/>
  <c r="AQ128" i="2"/>
  <c r="AO128" i="2"/>
  <c r="AN128" i="2"/>
  <c r="AL128" i="2"/>
  <c r="AK128" i="2"/>
  <c r="AJ128" i="2"/>
  <c r="AI128" i="2"/>
  <c r="AH128" i="2"/>
  <c r="AG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B128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T127" i="2"/>
  <c r="AS127" i="2"/>
  <c r="AR127" i="2"/>
  <c r="AQ127" i="2"/>
  <c r="AO127" i="2"/>
  <c r="AN127" i="2"/>
  <c r="AM127" i="2"/>
  <c r="AL127" i="2"/>
  <c r="AK127" i="2"/>
  <c r="AJ127" i="2"/>
  <c r="AI127" i="2"/>
  <c r="AH127" i="2"/>
  <c r="AG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B127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T126" i="2"/>
  <c r="AS126" i="2"/>
  <c r="AR126" i="2"/>
  <c r="AQ126" i="2"/>
  <c r="AO126" i="2"/>
  <c r="AN126" i="2"/>
  <c r="AM126" i="2"/>
  <c r="AL126" i="2"/>
  <c r="AK126" i="2"/>
  <c r="AJ126" i="2"/>
  <c r="AI126" i="2"/>
  <c r="AH126" i="2"/>
  <c r="AG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B126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T125" i="2"/>
  <c r="AS125" i="2"/>
  <c r="AR125" i="2"/>
  <c r="AQ125" i="2"/>
  <c r="AO125" i="2"/>
  <c r="AN125" i="2"/>
  <c r="AM125" i="2"/>
  <c r="AL125" i="2"/>
  <c r="AK125" i="2"/>
  <c r="AJ125" i="2"/>
  <c r="AI125" i="2"/>
  <c r="AH125" i="2"/>
  <c r="AG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B125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T124" i="2"/>
  <c r="AS124" i="2"/>
  <c r="AR124" i="2"/>
  <c r="AQ124" i="2"/>
  <c r="AO124" i="2"/>
  <c r="AN124" i="2"/>
  <c r="AM124" i="2"/>
  <c r="AL124" i="2"/>
  <c r="AK124" i="2"/>
  <c r="AJ124" i="2"/>
  <c r="AI124" i="2"/>
  <c r="AH124" i="2"/>
  <c r="AG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T123" i="2"/>
  <c r="AS123" i="2"/>
  <c r="AR123" i="2"/>
  <c r="AQ123" i="2"/>
  <c r="AO123" i="2"/>
  <c r="AN123" i="2"/>
  <c r="AM123" i="2"/>
  <c r="AL123" i="2"/>
  <c r="AK123" i="2"/>
  <c r="AJ123" i="2"/>
  <c r="AI123" i="2"/>
  <c r="AH123" i="2"/>
  <c r="AG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B123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T122" i="2"/>
  <c r="AS122" i="2"/>
  <c r="AR122" i="2"/>
  <c r="AQ122" i="2"/>
  <c r="AO122" i="2"/>
  <c r="AN122" i="2"/>
  <c r="AM122" i="2"/>
  <c r="AL122" i="2"/>
  <c r="AK122" i="2"/>
  <c r="AJ122" i="2"/>
  <c r="AI122" i="2"/>
  <c r="AH122" i="2"/>
  <c r="AG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B122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T121" i="2"/>
  <c r="AS121" i="2"/>
  <c r="AR121" i="2"/>
  <c r="AQ121" i="2"/>
  <c r="AO121" i="2"/>
  <c r="AN121" i="2"/>
  <c r="AM121" i="2"/>
  <c r="AL121" i="2"/>
  <c r="AK121" i="2"/>
  <c r="AJ121" i="2"/>
  <c r="AI121" i="2"/>
  <c r="AH121" i="2"/>
  <c r="AG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B121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T120" i="2"/>
  <c r="AS120" i="2"/>
  <c r="AR120" i="2"/>
  <c r="AQ120" i="2"/>
  <c r="AO120" i="2"/>
  <c r="AN120" i="2"/>
  <c r="AM120" i="2"/>
  <c r="AL120" i="2"/>
  <c r="AK120" i="2"/>
  <c r="AJ120" i="2"/>
  <c r="AI120" i="2"/>
  <c r="AH120" i="2"/>
  <c r="AG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B120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T119" i="2"/>
  <c r="AS119" i="2"/>
  <c r="AR119" i="2"/>
  <c r="AQ119" i="2"/>
  <c r="AO119" i="2"/>
  <c r="AN119" i="2"/>
  <c r="AM119" i="2"/>
  <c r="AL119" i="2"/>
  <c r="AK119" i="2"/>
  <c r="AJ119" i="2"/>
  <c r="AI119" i="2"/>
  <c r="AH119" i="2"/>
  <c r="AG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B119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T118" i="2"/>
  <c r="AS118" i="2"/>
  <c r="AR118" i="2"/>
  <c r="AQ118" i="2"/>
  <c r="AO118" i="2"/>
  <c r="AN118" i="2"/>
  <c r="AM118" i="2"/>
  <c r="AL118" i="2"/>
  <c r="AK118" i="2"/>
  <c r="AJ118" i="2"/>
  <c r="AI118" i="2"/>
  <c r="AH118" i="2"/>
  <c r="AG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B118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T117" i="2"/>
  <c r="AS117" i="2"/>
  <c r="AR117" i="2"/>
  <c r="AQ117" i="2"/>
  <c r="AO117" i="2"/>
  <c r="AN117" i="2"/>
  <c r="AM117" i="2"/>
  <c r="AL117" i="2"/>
  <c r="AK117" i="2"/>
  <c r="AJ117" i="2"/>
  <c r="AI117" i="2"/>
  <c r="AH117" i="2"/>
  <c r="AG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B117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T116" i="2"/>
  <c r="AS116" i="2"/>
  <c r="AR116" i="2"/>
  <c r="AQ116" i="2"/>
  <c r="AO116" i="2"/>
  <c r="AN116" i="2"/>
  <c r="AM116" i="2"/>
  <c r="AL116" i="2"/>
  <c r="AK116" i="2"/>
  <c r="AJ116" i="2"/>
  <c r="AI116" i="2"/>
  <c r="AH116" i="2"/>
  <c r="AG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B116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T115" i="2"/>
  <c r="AS115" i="2"/>
  <c r="AR115" i="2"/>
  <c r="AQ115" i="2"/>
  <c r="AO115" i="2"/>
  <c r="AN115" i="2"/>
  <c r="AL115" i="2"/>
  <c r="AK115" i="2"/>
  <c r="AJ115" i="2"/>
  <c r="AI115" i="2"/>
  <c r="AH115" i="2"/>
  <c r="AG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B115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T114" i="2"/>
  <c r="AS114" i="2"/>
  <c r="AR114" i="2"/>
  <c r="AQ114" i="2"/>
  <c r="AO114" i="2"/>
  <c r="AN114" i="2"/>
  <c r="AL114" i="2"/>
  <c r="AK114" i="2"/>
  <c r="AJ114" i="2"/>
  <c r="AI114" i="2"/>
  <c r="AH114" i="2"/>
  <c r="AG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B114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T113" i="2"/>
  <c r="AS113" i="2"/>
  <c r="AR113" i="2"/>
  <c r="AQ113" i="2"/>
  <c r="AO113" i="2"/>
  <c r="AN113" i="2"/>
  <c r="AL113" i="2"/>
  <c r="AK113" i="2"/>
  <c r="AJ113" i="2"/>
  <c r="AI113" i="2"/>
  <c r="AH113" i="2"/>
  <c r="AG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B113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B112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T111" i="2"/>
  <c r="AS111" i="2"/>
  <c r="AR111" i="2"/>
  <c r="AQ111" i="2"/>
  <c r="AO111" i="2"/>
  <c r="AN111" i="2"/>
  <c r="AM111" i="2"/>
  <c r="AL111" i="2"/>
  <c r="AK111" i="2"/>
  <c r="AJ111" i="2"/>
  <c r="AI111" i="2"/>
  <c r="AH111" i="2"/>
  <c r="AG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B111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T110" i="2"/>
  <c r="AS110" i="2"/>
  <c r="AR110" i="2"/>
  <c r="AQ110" i="2"/>
  <c r="AO110" i="2"/>
  <c r="AN110" i="2"/>
  <c r="AM110" i="2"/>
  <c r="AL110" i="2"/>
  <c r="AK110" i="2"/>
  <c r="AJ110" i="2"/>
  <c r="AI110" i="2"/>
  <c r="AH110" i="2"/>
  <c r="AG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B110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T109" i="2"/>
  <c r="AS109" i="2"/>
  <c r="AR109" i="2"/>
  <c r="AQ109" i="2"/>
  <c r="AO109" i="2"/>
  <c r="AN109" i="2"/>
  <c r="AM109" i="2"/>
  <c r="AL109" i="2"/>
  <c r="AK109" i="2"/>
  <c r="AJ109" i="2"/>
  <c r="AI109" i="2"/>
  <c r="AH109" i="2"/>
  <c r="AG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B109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T108" i="2"/>
  <c r="AS108" i="2"/>
  <c r="AR108" i="2"/>
  <c r="AQ108" i="2"/>
  <c r="AO108" i="2"/>
  <c r="AN108" i="2"/>
  <c r="AM108" i="2"/>
  <c r="AL108" i="2"/>
  <c r="AK108" i="2"/>
  <c r="AJ108" i="2"/>
  <c r="AI108" i="2"/>
  <c r="AH108" i="2"/>
  <c r="AG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B108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T107" i="2"/>
  <c r="AS107" i="2"/>
  <c r="AR107" i="2"/>
  <c r="AQ107" i="2"/>
  <c r="AO107" i="2"/>
  <c r="AN107" i="2"/>
  <c r="AM107" i="2"/>
  <c r="AL107" i="2"/>
  <c r="AK107" i="2"/>
  <c r="AJ107" i="2"/>
  <c r="AI107" i="2"/>
  <c r="AH107" i="2"/>
  <c r="AG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T106" i="2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T105" i="2"/>
  <c r="AS105" i="2"/>
  <c r="AR105" i="2"/>
  <c r="AQ105" i="2"/>
  <c r="AO105" i="2"/>
  <c r="AN105" i="2"/>
  <c r="AM105" i="2"/>
  <c r="AL105" i="2"/>
  <c r="AK105" i="2"/>
  <c r="AJ105" i="2"/>
  <c r="AI105" i="2"/>
  <c r="AH105" i="2"/>
  <c r="AG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B105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T104" i="2"/>
  <c r="AS104" i="2"/>
  <c r="AR104" i="2"/>
  <c r="AQ104" i="2"/>
  <c r="AO104" i="2"/>
  <c r="AN104" i="2"/>
  <c r="AM104" i="2"/>
  <c r="AL104" i="2"/>
  <c r="AK104" i="2"/>
  <c r="AJ104" i="2"/>
  <c r="AI104" i="2"/>
  <c r="AH104" i="2"/>
  <c r="AG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B104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T103" i="2"/>
  <c r="AS103" i="2"/>
  <c r="AR103" i="2"/>
  <c r="AQ103" i="2"/>
  <c r="AO103" i="2"/>
  <c r="AN103" i="2"/>
  <c r="AM103" i="2"/>
  <c r="AL103" i="2"/>
  <c r="AK103" i="2"/>
  <c r="AJ103" i="2"/>
  <c r="AI103" i="2"/>
  <c r="AH103" i="2"/>
  <c r="AG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B103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T102" i="2"/>
  <c r="AS102" i="2"/>
  <c r="AR102" i="2"/>
  <c r="AQ102" i="2"/>
  <c r="AO102" i="2"/>
  <c r="AN102" i="2"/>
  <c r="AM102" i="2"/>
  <c r="AL102" i="2"/>
  <c r="AK102" i="2"/>
  <c r="AJ102" i="2"/>
  <c r="AI102" i="2"/>
  <c r="AH102" i="2"/>
  <c r="AG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B102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T101" i="2"/>
  <c r="AS101" i="2"/>
  <c r="AR101" i="2"/>
  <c r="AQ101" i="2"/>
  <c r="AO101" i="2"/>
  <c r="AN101" i="2"/>
  <c r="AM101" i="2"/>
  <c r="AL101" i="2"/>
  <c r="AK101" i="2"/>
  <c r="AJ101" i="2"/>
  <c r="AI101" i="2"/>
  <c r="AH101" i="2"/>
  <c r="AG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B101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T100" i="2"/>
  <c r="AS100" i="2"/>
  <c r="AR100" i="2"/>
  <c r="AQ100" i="2"/>
  <c r="AO100" i="2"/>
  <c r="AN100" i="2"/>
  <c r="AM100" i="2"/>
  <c r="AL100" i="2"/>
  <c r="AK100" i="2"/>
  <c r="AJ100" i="2"/>
  <c r="AI100" i="2"/>
  <c r="AH100" i="2"/>
  <c r="AG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B100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T99" i="2"/>
  <c r="AS99" i="2"/>
  <c r="AR99" i="2"/>
  <c r="AQ99" i="2"/>
  <c r="AO99" i="2"/>
  <c r="AN99" i="2"/>
  <c r="AM99" i="2"/>
  <c r="AL99" i="2"/>
  <c r="AK99" i="2"/>
  <c r="AJ99" i="2"/>
  <c r="AI99" i="2"/>
  <c r="AH99" i="2"/>
  <c r="AG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C99" i="2"/>
  <c r="B99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T98" i="2"/>
  <c r="AS98" i="2"/>
  <c r="AR98" i="2"/>
  <c r="AQ98" i="2"/>
  <c r="AO98" i="2"/>
  <c r="AN98" i="2"/>
  <c r="AM98" i="2"/>
  <c r="AL98" i="2"/>
  <c r="AK98" i="2"/>
  <c r="AJ98" i="2"/>
  <c r="AI98" i="2"/>
  <c r="AH98" i="2"/>
  <c r="AG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T97" i="2"/>
  <c r="AS97" i="2"/>
  <c r="AR97" i="2"/>
  <c r="AQ97" i="2"/>
  <c r="AO97" i="2"/>
  <c r="AN97" i="2"/>
  <c r="AM97" i="2"/>
  <c r="AL97" i="2"/>
  <c r="AK97" i="2"/>
  <c r="AJ97" i="2"/>
  <c r="AI97" i="2"/>
  <c r="AH97" i="2"/>
  <c r="AG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T96" i="2"/>
  <c r="AS96" i="2"/>
  <c r="AR96" i="2"/>
  <c r="AQ96" i="2"/>
  <c r="AO96" i="2"/>
  <c r="AN96" i="2"/>
  <c r="AM96" i="2"/>
  <c r="AL96" i="2"/>
  <c r="AK96" i="2"/>
  <c r="AJ96" i="2"/>
  <c r="AI96" i="2"/>
  <c r="AH96" i="2"/>
  <c r="AG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C96" i="2"/>
  <c r="B96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T95" i="2"/>
  <c r="AS95" i="2"/>
  <c r="AR95" i="2"/>
  <c r="AQ95" i="2"/>
  <c r="AO95" i="2"/>
  <c r="AN95" i="2"/>
  <c r="AM95" i="2"/>
  <c r="AL95" i="2"/>
  <c r="AK95" i="2"/>
  <c r="AJ95" i="2"/>
  <c r="AI95" i="2"/>
  <c r="AH95" i="2"/>
  <c r="AG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C95" i="2"/>
  <c r="B95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T94" i="2"/>
  <c r="AS94" i="2"/>
  <c r="AR94" i="2"/>
  <c r="AQ94" i="2"/>
  <c r="AO94" i="2"/>
  <c r="AN94" i="2"/>
  <c r="AM94" i="2"/>
  <c r="AL94" i="2"/>
  <c r="AK94" i="2"/>
  <c r="AJ94" i="2"/>
  <c r="AI94" i="2"/>
  <c r="AH94" i="2"/>
  <c r="AG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C94" i="2"/>
  <c r="B94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T93" i="2"/>
  <c r="AS93" i="2"/>
  <c r="AR93" i="2"/>
  <c r="AQ93" i="2"/>
  <c r="AO93" i="2"/>
  <c r="AN93" i="2"/>
  <c r="AM93" i="2"/>
  <c r="AL93" i="2"/>
  <c r="AK93" i="2"/>
  <c r="AJ93" i="2"/>
  <c r="AI93" i="2"/>
  <c r="AH93" i="2"/>
  <c r="AG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C93" i="2"/>
  <c r="B93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T92" i="2"/>
  <c r="AS92" i="2"/>
  <c r="AR92" i="2"/>
  <c r="AQ92" i="2"/>
  <c r="AO92" i="2"/>
  <c r="AN92" i="2"/>
  <c r="AM92" i="2"/>
  <c r="AL92" i="2"/>
  <c r="AK92" i="2"/>
  <c r="AJ92" i="2"/>
  <c r="AI92" i="2"/>
  <c r="AH92" i="2"/>
  <c r="AG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C92" i="2"/>
  <c r="B92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T91" i="2"/>
  <c r="AS91" i="2"/>
  <c r="AR91" i="2"/>
  <c r="AQ91" i="2"/>
  <c r="AO91" i="2"/>
  <c r="AN91" i="2"/>
  <c r="AM91" i="2"/>
  <c r="AL91" i="2"/>
  <c r="AK91" i="2"/>
  <c r="AJ91" i="2"/>
  <c r="AI91" i="2"/>
  <c r="AH91" i="2"/>
  <c r="AG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C91" i="2"/>
  <c r="B91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T90" i="2"/>
  <c r="AS90" i="2"/>
  <c r="AR90" i="2"/>
  <c r="AQ90" i="2"/>
  <c r="AO90" i="2"/>
  <c r="AN90" i="2"/>
  <c r="AM90" i="2"/>
  <c r="AL90" i="2"/>
  <c r="AK90" i="2"/>
  <c r="AJ90" i="2"/>
  <c r="AI90" i="2"/>
  <c r="AH90" i="2"/>
  <c r="AG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C90" i="2"/>
  <c r="B90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T89" i="2"/>
  <c r="AS89" i="2"/>
  <c r="AR89" i="2"/>
  <c r="AQ89" i="2"/>
  <c r="AO89" i="2"/>
  <c r="AN89" i="2"/>
  <c r="AM89" i="2"/>
  <c r="AL89" i="2"/>
  <c r="AK89" i="2"/>
  <c r="AJ89" i="2"/>
  <c r="AI89" i="2"/>
  <c r="AH89" i="2"/>
  <c r="AG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C89" i="2"/>
  <c r="B89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T88" i="2"/>
  <c r="AS88" i="2"/>
  <c r="AR88" i="2"/>
  <c r="AQ88" i="2"/>
  <c r="AO88" i="2"/>
  <c r="AN88" i="2"/>
  <c r="AM88" i="2"/>
  <c r="AL88" i="2"/>
  <c r="AK88" i="2"/>
  <c r="AJ88" i="2"/>
  <c r="AI88" i="2"/>
  <c r="AH88" i="2"/>
  <c r="AG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C88" i="2"/>
  <c r="B88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T87" i="2"/>
  <c r="AS87" i="2"/>
  <c r="AR87" i="2"/>
  <c r="AQ87" i="2"/>
  <c r="AO87" i="2"/>
  <c r="AN87" i="2"/>
  <c r="AM87" i="2"/>
  <c r="AL87" i="2"/>
  <c r="AK87" i="2"/>
  <c r="AJ87" i="2"/>
  <c r="AI87" i="2"/>
  <c r="AH87" i="2"/>
  <c r="AG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C87" i="2"/>
  <c r="B87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T86" i="2"/>
  <c r="AS86" i="2"/>
  <c r="AR86" i="2"/>
  <c r="AQ86" i="2"/>
  <c r="AO86" i="2"/>
  <c r="AN86" i="2"/>
  <c r="AM86" i="2"/>
  <c r="AL86" i="2"/>
  <c r="AK86" i="2"/>
  <c r="AJ86" i="2"/>
  <c r="AI86" i="2"/>
  <c r="AH86" i="2"/>
  <c r="AG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C86" i="2"/>
  <c r="B86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T85" i="2"/>
  <c r="AS85" i="2"/>
  <c r="AR85" i="2"/>
  <c r="AQ85" i="2"/>
  <c r="AO85" i="2"/>
  <c r="AN85" i="2"/>
  <c r="AM85" i="2"/>
  <c r="AL85" i="2"/>
  <c r="AK85" i="2"/>
  <c r="AJ85" i="2"/>
  <c r="AI85" i="2"/>
  <c r="AH85" i="2"/>
  <c r="AG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C85" i="2"/>
  <c r="B85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T84" i="2"/>
  <c r="AS84" i="2"/>
  <c r="AR84" i="2"/>
  <c r="AQ84" i="2"/>
  <c r="AO84" i="2"/>
  <c r="AN84" i="2"/>
  <c r="AM84" i="2"/>
  <c r="AL84" i="2"/>
  <c r="AK84" i="2"/>
  <c r="AJ84" i="2"/>
  <c r="AI84" i="2"/>
  <c r="AH84" i="2"/>
  <c r="AG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C84" i="2"/>
  <c r="B84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T83" i="2"/>
  <c r="AS83" i="2"/>
  <c r="AR83" i="2"/>
  <c r="AQ83" i="2"/>
  <c r="AO83" i="2"/>
  <c r="AN83" i="2"/>
  <c r="AM83" i="2"/>
  <c r="AL83" i="2"/>
  <c r="AK83" i="2"/>
  <c r="AJ83" i="2"/>
  <c r="AI83" i="2"/>
  <c r="AH83" i="2"/>
  <c r="AG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C83" i="2"/>
  <c r="B83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T82" i="2"/>
  <c r="AS82" i="2"/>
  <c r="AR82" i="2"/>
  <c r="AQ82" i="2"/>
  <c r="AO82" i="2"/>
  <c r="AN82" i="2"/>
  <c r="AM82" i="2"/>
  <c r="AL82" i="2"/>
  <c r="AK82" i="2"/>
  <c r="AJ82" i="2"/>
  <c r="AI82" i="2"/>
  <c r="AH82" i="2"/>
  <c r="AG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C82" i="2"/>
  <c r="B82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T81" i="2"/>
  <c r="AS81" i="2"/>
  <c r="AR81" i="2"/>
  <c r="AQ81" i="2"/>
  <c r="AO81" i="2"/>
  <c r="AN81" i="2"/>
  <c r="AL81" i="2"/>
  <c r="AK81" i="2"/>
  <c r="AJ81" i="2"/>
  <c r="AI81" i="2"/>
  <c r="AH81" i="2"/>
  <c r="AG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C81" i="2"/>
  <c r="B81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T80" i="2"/>
  <c r="AS80" i="2"/>
  <c r="AR80" i="2"/>
  <c r="AQ80" i="2"/>
  <c r="AO80" i="2"/>
  <c r="AN80" i="2"/>
  <c r="AM80" i="2"/>
  <c r="AL80" i="2"/>
  <c r="AK80" i="2"/>
  <c r="AJ80" i="2"/>
  <c r="AI80" i="2"/>
  <c r="AH80" i="2"/>
  <c r="AG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C80" i="2"/>
  <c r="B80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T79" i="2"/>
  <c r="AS79" i="2"/>
  <c r="AR79" i="2"/>
  <c r="AQ79" i="2"/>
  <c r="AO79" i="2"/>
  <c r="AN79" i="2"/>
  <c r="AM79" i="2"/>
  <c r="AL79" i="2"/>
  <c r="AK79" i="2"/>
  <c r="AJ79" i="2"/>
  <c r="AI79" i="2"/>
  <c r="AH79" i="2"/>
  <c r="AG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C79" i="2"/>
  <c r="B79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T78" i="2"/>
  <c r="AS78" i="2"/>
  <c r="AR78" i="2"/>
  <c r="AQ78" i="2"/>
  <c r="AO78" i="2"/>
  <c r="AN78" i="2"/>
  <c r="AM78" i="2"/>
  <c r="AL78" i="2"/>
  <c r="AK78" i="2"/>
  <c r="AJ78" i="2"/>
  <c r="AI78" i="2"/>
  <c r="AH78" i="2"/>
  <c r="AG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C78" i="2"/>
  <c r="B78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T77" i="2"/>
  <c r="AS77" i="2"/>
  <c r="AR77" i="2"/>
  <c r="AQ77" i="2"/>
  <c r="AO77" i="2"/>
  <c r="AN77" i="2"/>
  <c r="AM77" i="2"/>
  <c r="AL77" i="2"/>
  <c r="AK77" i="2"/>
  <c r="AJ77" i="2"/>
  <c r="AI77" i="2"/>
  <c r="AH77" i="2"/>
  <c r="AG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C77" i="2"/>
  <c r="B77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T76" i="2"/>
  <c r="AS76" i="2"/>
  <c r="AR76" i="2"/>
  <c r="AQ76" i="2"/>
  <c r="AO76" i="2"/>
  <c r="AN76" i="2"/>
  <c r="AM76" i="2"/>
  <c r="AL76" i="2"/>
  <c r="AK76" i="2"/>
  <c r="AJ76" i="2"/>
  <c r="AI76" i="2"/>
  <c r="AH76" i="2"/>
  <c r="AG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C76" i="2"/>
  <c r="B76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T75" i="2"/>
  <c r="AS75" i="2"/>
  <c r="AR75" i="2"/>
  <c r="AQ75" i="2"/>
  <c r="AO75" i="2"/>
  <c r="AN75" i="2"/>
  <c r="AM75" i="2"/>
  <c r="AL75" i="2"/>
  <c r="AK75" i="2"/>
  <c r="AJ75" i="2"/>
  <c r="AI75" i="2"/>
  <c r="AH75" i="2"/>
  <c r="AG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C75" i="2"/>
  <c r="B75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T74" i="2"/>
  <c r="AS74" i="2"/>
  <c r="AR74" i="2"/>
  <c r="AQ74" i="2"/>
  <c r="AO74" i="2"/>
  <c r="AN74" i="2"/>
  <c r="AM74" i="2"/>
  <c r="AL74" i="2"/>
  <c r="AK74" i="2"/>
  <c r="AJ74" i="2"/>
  <c r="AI74" i="2"/>
  <c r="AH74" i="2"/>
  <c r="AG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C74" i="2"/>
  <c r="B74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T73" i="2"/>
  <c r="AS73" i="2"/>
  <c r="AR73" i="2"/>
  <c r="AQ73" i="2"/>
  <c r="AO73" i="2"/>
  <c r="AN73" i="2"/>
  <c r="AM73" i="2"/>
  <c r="AL73" i="2"/>
  <c r="AK73" i="2"/>
  <c r="AJ73" i="2"/>
  <c r="AI73" i="2"/>
  <c r="AH73" i="2"/>
  <c r="AG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C73" i="2"/>
  <c r="B73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T72" i="2"/>
  <c r="AS72" i="2"/>
  <c r="AR72" i="2"/>
  <c r="AQ72" i="2"/>
  <c r="AO72" i="2"/>
  <c r="AN72" i="2"/>
  <c r="AM72" i="2"/>
  <c r="AL72" i="2"/>
  <c r="AK72" i="2"/>
  <c r="AJ72" i="2"/>
  <c r="AI72" i="2"/>
  <c r="AH72" i="2"/>
  <c r="AG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C72" i="2"/>
  <c r="B72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T71" i="2"/>
  <c r="AS71" i="2"/>
  <c r="AR71" i="2"/>
  <c r="AQ71" i="2"/>
  <c r="AO71" i="2"/>
  <c r="AN71" i="2"/>
  <c r="AM71" i="2"/>
  <c r="AL71" i="2"/>
  <c r="AK71" i="2"/>
  <c r="AJ71" i="2"/>
  <c r="AI71" i="2"/>
  <c r="AH71" i="2"/>
  <c r="AG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C71" i="2"/>
  <c r="B71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T70" i="2"/>
  <c r="AS70" i="2"/>
  <c r="AR70" i="2"/>
  <c r="AQ70" i="2"/>
  <c r="AO70" i="2"/>
  <c r="AN70" i="2"/>
  <c r="AM70" i="2"/>
  <c r="AL70" i="2"/>
  <c r="AK70" i="2"/>
  <c r="AJ70" i="2"/>
  <c r="AI70" i="2"/>
  <c r="AH70" i="2"/>
  <c r="AG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C70" i="2"/>
  <c r="B70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T69" i="2"/>
  <c r="AS69" i="2"/>
  <c r="AR69" i="2"/>
  <c r="AQ69" i="2"/>
  <c r="AO69" i="2"/>
  <c r="AN69" i="2"/>
  <c r="AM69" i="2"/>
  <c r="AL69" i="2"/>
  <c r="AK69" i="2"/>
  <c r="AJ69" i="2"/>
  <c r="AI69" i="2"/>
  <c r="AH69" i="2"/>
  <c r="AG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C69" i="2"/>
  <c r="B69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T68" i="2"/>
  <c r="AS68" i="2"/>
  <c r="AR68" i="2"/>
  <c r="AQ68" i="2"/>
  <c r="AO68" i="2"/>
  <c r="AN68" i="2"/>
  <c r="AM68" i="2"/>
  <c r="AL68" i="2"/>
  <c r="AK68" i="2"/>
  <c r="AJ68" i="2"/>
  <c r="AI68" i="2"/>
  <c r="AH68" i="2"/>
  <c r="AG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C68" i="2"/>
  <c r="B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T67" i="2"/>
  <c r="AS67" i="2"/>
  <c r="AR67" i="2"/>
  <c r="AQ67" i="2"/>
  <c r="AO67" i="2"/>
  <c r="AN67" i="2"/>
  <c r="AM67" i="2"/>
  <c r="AL67" i="2"/>
  <c r="AK67" i="2"/>
  <c r="AJ67" i="2"/>
  <c r="AI67" i="2"/>
  <c r="AH67" i="2"/>
  <c r="AG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C67" i="2"/>
  <c r="B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T66" i="2"/>
  <c r="AS66" i="2"/>
  <c r="AR66" i="2"/>
  <c r="AQ66" i="2"/>
  <c r="AO66" i="2"/>
  <c r="AN66" i="2"/>
  <c r="AM66" i="2"/>
  <c r="AL66" i="2"/>
  <c r="AK66" i="2"/>
  <c r="AJ66" i="2"/>
  <c r="AI66" i="2"/>
  <c r="AH66" i="2"/>
  <c r="AG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C66" i="2"/>
  <c r="B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T65" i="2"/>
  <c r="AS65" i="2"/>
  <c r="AR65" i="2"/>
  <c r="AQ65" i="2"/>
  <c r="AO65" i="2"/>
  <c r="AN65" i="2"/>
  <c r="AM65" i="2"/>
  <c r="AL65" i="2"/>
  <c r="AK65" i="2"/>
  <c r="AJ65" i="2"/>
  <c r="AI65" i="2"/>
  <c r="AH65" i="2"/>
  <c r="AG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C65" i="2"/>
  <c r="B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T64" i="2"/>
  <c r="AS64" i="2"/>
  <c r="AR64" i="2"/>
  <c r="AQ64" i="2"/>
  <c r="AO64" i="2"/>
  <c r="AN64" i="2"/>
  <c r="AM64" i="2"/>
  <c r="AL64" i="2"/>
  <c r="AK64" i="2"/>
  <c r="AJ64" i="2"/>
  <c r="AI64" i="2"/>
  <c r="AH64" i="2"/>
  <c r="AG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C64" i="2"/>
  <c r="B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T63" i="2"/>
  <c r="AS63" i="2"/>
  <c r="AR63" i="2"/>
  <c r="AQ63" i="2"/>
  <c r="AO63" i="2"/>
  <c r="AN63" i="2"/>
  <c r="AM63" i="2"/>
  <c r="AL63" i="2"/>
  <c r="AK63" i="2"/>
  <c r="AJ63" i="2"/>
  <c r="AI63" i="2"/>
  <c r="AH63" i="2"/>
  <c r="AG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C63" i="2"/>
  <c r="B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T62" i="2"/>
  <c r="AS62" i="2"/>
  <c r="AR62" i="2"/>
  <c r="AQ62" i="2"/>
  <c r="AO62" i="2"/>
  <c r="AN62" i="2"/>
  <c r="AM62" i="2"/>
  <c r="AL62" i="2"/>
  <c r="AK62" i="2"/>
  <c r="AJ62" i="2"/>
  <c r="AI62" i="2"/>
  <c r="AH62" i="2"/>
  <c r="AG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C62" i="2"/>
  <c r="B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T61" i="2"/>
  <c r="AS61" i="2"/>
  <c r="AR61" i="2"/>
  <c r="AQ61" i="2"/>
  <c r="AO61" i="2"/>
  <c r="AN61" i="2"/>
  <c r="AM61" i="2"/>
  <c r="AL61" i="2"/>
  <c r="AK61" i="2"/>
  <c r="AJ61" i="2"/>
  <c r="AI61" i="2"/>
  <c r="AH61" i="2"/>
  <c r="AG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C61" i="2"/>
  <c r="B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T60" i="2"/>
  <c r="AS60" i="2"/>
  <c r="AR60" i="2"/>
  <c r="AQ60" i="2"/>
  <c r="AO60" i="2"/>
  <c r="AN60" i="2"/>
  <c r="AM60" i="2"/>
  <c r="AL60" i="2"/>
  <c r="AK60" i="2"/>
  <c r="AJ60" i="2"/>
  <c r="AI60" i="2"/>
  <c r="AH60" i="2"/>
  <c r="AG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C60" i="2"/>
  <c r="B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T59" i="2"/>
  <c r="AS59" i="2"/>
  <c r="AR59" i="2"/>
  <c r="AQ59" i="2"/>
  <c r="AO59" i="2"/>
  <c r="AN59" i="2"/>
  <c r="AM59" i="2"/>
  <c r="AL59" i="2"/>
  <c r="AK59" i="2"/>
  <c r="AJ59" i="2"/>
  <c r="AI59" i="2"/>
  <c r="AH59" i="2"/>
  <c r="AG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C59" i="2"/>
  <c r="B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T58" i="2"/>
  <c r="AS58" i="2"/>
  <c r="AR58" i="2"/>
  <c r="AQ58" i="2"/>
  <c r="AO58" i="2"/>
  <c r="AN58" i="2"/>
  <c r="AM58" i="2"/>
  <c r="AL58" i="2"/>
  <c r="AK58" i="2"/>
  <c r="AJ58" i="2"/>
  <c r="AI58" i="2"/>
  <c r="AH58" i="2"/>
  <c r="AG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C58" i="2"/>
  <c r="B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T57" i="2"/>
  <c r="AS57" i="2"/>
  <c r="AR57" i="2"/>
  <c r="AQ57" i="2"/>
  <c r="AO57" i="2"/>
  <c r="AN57" i="2"/>
  <c r="AM57" i="2"/>
  <c r="AL57" i="2"/>
  <c r="AK57" i="2"/>
  <c r="AJ57" i="2"/>
  <c r="AI57" i="2"/>
  <c r="AH57" i="2"/>
  <c r="AG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C57" i="2"/>
  <c r="B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T56" i="2"/>
  <c r="AS56" i="2"/>
  <c r="AR56" i="2"/>
  <c r="AQ56" i="2"/>
  <c r="AO56" i="2"/>
  <c r="AN56" i="2"/>
  <c r="AM56" i="2"/>
  <c r="AL56" i="2"/>
  <c r="AK56" i="2"/>
  <c r="AJ56" i="2"/>
  <c r="AI56" i="2"/>
  <c r="AH56" i="2"/>
  <c r="AG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C56" i="2"/>
  <c r="B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T55" i="2"/>
  <c r="AS55" i="2"/>
  <c r="AR55" i="2"/>
  <c r="AQ55" i="2"/>
  <c r="AO55" i="2"/>
  <c r="AN55" i="2"/>
  <c r="AM55" i="2"/>
  <c r="AL55" i="2"/>
  <c r="AK55" i="2"/>
  <c r="AJ55" i="2"/>
  <c r="AI55" i="2"/>
  <c r="AH55" i="2"/>
  <c r="AG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C55" i="2"/>
  <c r="B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T54" i="2"/>
  <c r="AS54" i="2"/>
  <c r="AR54" i="2"/>
  <c r="AQ54" i="2"/>
  <c r="AO54" i="2"/>
  <c r="AN54" i="2"/>
  <c r="AM54" i="2"/>
  <c r="AL54" i="2"/>
  <c r="AK54" i="2"/>
  <c r="AJ54" i="2"/>
  <c r="AI54" i="2"/>
  <c r="AH54" i="2"/>
  <c r="AG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C54" i="2"/>
  <c r="B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T53" i="2"/>
  <c r="AS53" i="2"/>
  <c r="AR53" i="2"/>
  <c r="AQ53" i="2"/>
  <c r="AO53" i="2"/>
  <c r="AN53" i="2"/>
  <c r="AL53" i="2"/>
  <c r="AK53" i="2"/>
  <c r="AJ53" i="2"/>
  <c r="AI53" i="2"/>
  <c r="AH53" i="2"/>
  <c r="AG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C53" i="2"/>
  <c r="B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T52" i="2"/>
  <c r="AS52" i="2"/>
  <c r="AR52" i="2"/>
  <c r="AQ52" i="2"/>
  <c r="AO52" i="2"/>
  <c r="AN52" i="2"/>
  <c r="AL52" i="2"/>
  <c r="AK52" i="2"/>
  <c r="AJ52" i="2"/>
  <c r="AI52" i="2"/>
  <c r="AH52" i="2"/>
  <c r="AG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C52" i="2"/>
  <c r="B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T51" i="2"/>
  <c r="AS51" i="2"/>
  <c r="AR51" i="2"/>
  <c r="AQ51" i="2"/>
  <c r="AO51" i="2"/>
  <c r="AN51" i="2"/>
  <c r="AL51" i="2"/>
  <c r="AK51" i="2"/>
  <c r="AJ51" i="2"/>
  <c r="AI51" i="2"/>
  <c r="AH51" i="2"/>
  <c r="AG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C51" i="2"/>
  <c r="B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T50" i="2"/>
  <c r="AS50" i="2"/>
  <c r="AR50" i="2"/>
  <c r="AQ50" i="2"/>
  <c r="AO50" i="2"/>
  <c r="AN50" i="2"/>
  <c r="AM50" i="2"/>
  <c r="AL50" i="2"/>
  <c r="AK50" i="2"/>
  <c r="AJ50" i="2"/>
  <c r="AI50" i="2"/>
  <c r="AH50" i="2"/>
  <c r="AG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T49" i="2"/>
  <c r="AS49" i="2"/>
  <c r="AR49" i="2"/>
  <c r="AQ49" i="2"/>
  <c r="AO49" i="2"/>
  <c r="AN49" i="2"/>
  <c r="AM49" i="2"/>
  <c r="AL49" i="2"/>
  <c r="AK49" i="2"/>
  <c r="AJ49" i="2"/>
  <c r="AI49" i="2"/>
  <c r="AH49" i="2"/>
  <c r="AG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C49" i="2"/>
  <c r="B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T48" i="2"/>
  <c r="AS48" i="2"/>
  <c r="AR48" i="2"/>
  <c r="AQ48" i="2"/>
  <c r="AO48" i="2"/>
  <c r="AN48" i="2"/>
  <c r="AM48" i="2"/>
  <c r="AL48" i="2"/>
  <c r="AK48" i="2"/>
  <c r="AJ48" i="2"/>
  <c r="AI48" i="2"/>
  <c r="AH48" i="2"/>
  <c r="AG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C48" i="2"/>
  <c r="B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T47" i="2"/>
  <c r="AS47" i="2"/>
  <c r="AR47" i="2"/>
  <c r="AQ47" i="2"/>
  <c r="AO47" i="2"/>
  <c r="AN47" i="2"/>
  <c r="AM47" i="2"/>
  <c r="AL47" i="2"/>
  <c r="AK47" i="2"/>
  <c r="AJ47" i="2"/>
  <c r="AI47" i="2"/>
  <c r="AH47" i="2"/>
  <c r="AG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C47" i="2"/>
  <c r="B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T46" i="2"/>
  <c r="AS46" i="2"/>
  <c r="AR46" i="2"/>
  <c r="AQ46" i="2"/>
  <c r="AO46" i="2"/>
  <c r="AN46" i="2"/>
  <c r="AM46" i="2"/>
  <c r="AL46" i="2"/>
  <c r="AK46" i="2"/>
  <c r="AJ46" i="2"/>
  <c r="AI46" i="2"/>
  <c r="AH46" i="2"/>
  <c r="AG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C46" i="2"/>
  <c r="B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T45" i="2"/>
  <c r="AS45" i="2"/>
  <c r="AR45" i="2"/>
  <c r="AQ45" i="2"/>
  <c r="AO45" i="2"/>
  <c r="AN45" i="2"/>
  <c r="AM45" i="2"/>
  <c r="AL45" i="2"/>
  <c r="AK45" i="2"/>
  <c r="AJ45" i="2"/>
  <c r="AI45" i="2"/>
  <c r="AH45" i="2"/>
  <c r="AG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C45" i="2"/>
  <c r="B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T44" i="2"/>
  <c r="AS44" i="2"/>
  <c r="AR44" i="2"/>
  <c r="AQ44" i="2"/>
  <c r="AO44" i="2"/>
  <c r="AN44" i="2"/>
  <c r="AM44" i="2"/>
  <c r="AL44" i="2"/>
  <c r="AK44" i="2"/>
  <c r="AJ44" i="2"/>
  <c r="AI44" i="2"/>
  <c r="AH44" i="2"/>
  <c r="AG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C44" i="2"/>
  <c r="B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T43" i="2"/>
  <c r="AS43" i="2"/>
  <c r="AR43" i="2"/>
  <c r="AQ43" i="2"/>
  <c r="AO43" i="2"/>
  <c r="AN43" i="2"/>
  <c r="AM43" i="2"/>
  <c r="AL43" i="2"/>
  <c r="AK43" i="2"/>
  <c r="AJ43" i="2"/>
  <c r="AI43" i="2"/>
  <c r="AH43" i="2"/>
  <c r="AG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C43" i="2"/>
  <c r="B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T42" i="2"/>
  <c r="AS42" i="2"/>
  <c r="AR42" i="2"/>
  <c r="AQ42" i="2"/>
  <c r="AO42" i="2"/>
  <c r="AN42" i="2"/>
  <c r="AM42" i="2"/>
  <c r="AL42" i="2"/>
  <c r="AK42" i="2"/>
  <c r="AJ42" i="2"/>
  <c r="AI42" i="2"/>
  <c r="AH42" i="2"/>
  <c r="AG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C42" i="2"/>
  <c r="B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T41" i="2"/>
  <c r="AS41" i="2"/>
  <c r="AR41" i="2"/>
  <c r="AQ41" i="2"/>
  <c r="AO41" i="2"/>
  <c r="AN41" i="2"/>
  <c r="AM41" i="2"/>
  <c r="AL41" i="2"/>
  <c r="AK41" i="2"/>
  <c r="AJ41" i="2"/>
  <c r="AI41" i="2"/>
  <c r="AH41" i="2"/>
  <c r="AG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C41" i="2"/>
  <c r="B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T40" i="2"/>
  <c r="AS40" i="2"/>
  <c r="AR40" i="2"/>
  <c r="AQ40" i="2"/>
  <c r="AO40" i="2"/>
  <c r="AN40" i="2"/>
  <c r="AM40" i="2"/>
  <c r="AL40" i="2"/>
  <c r="AK40" i="2"/>
  <c r="AJ40" i="2"/>
  <c r="AI40" i="2"/>
  <c r="AH40" i="2"/>
  <c r="AG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C40" i="2"/>
  <c r="B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T39" i="2"/>
  <c r="AS39" i="2"/>
  <c r="AR39" i="2"/>
  <c r="AQ39" i="2"/>
  <c r="AO39" i="2"/>
  <c r="AN39" i="2"/>
  <c r="AM39" i="2"/>
  <c r="AL39" i="2"/>
  <c r="AK39" i="2"/>
  <c r="AJ39" i="2"/>
  <c r="AI39" i="2"/>
  <c r="AH39" i="2"/>
  <c r="AG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C39" i="2"/>
  <c r="B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T38" i="2"/>
  <c r="AS38" i="2"/>
  <c r="AR38" i="2"/>
  <c r="AQ38" i="2"/>
  <c r="AO38" i="2"/>
  <c r="AN38" i="2"/>
  <c r="AL38" i="2"/>
  <c r="AK38" i="2"/>
  <c r="AJ38" i="2"/>
  <c r="AI38" i="2"/>
  <c r="AH38" i="2"/>
  <c r="AG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C38" i="2"/>
  <c r="B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T37" i="2"/>
  <c r="AS37" i="2"/>
  <c r="AR37" i="2"/>
  <c r="AQ37" i="2"/>
  <c r="AO37" i="2"/>
  <c r="AN37" i="2"/>
  <c r="AM37" i="2"/>
  <c r="AL37" i="2"/>
  <c r="AK37" i="2"/>
  <c r="AJ37" i="2"/>
  <c r="AI37" i="2"/>
  <c r="AH37" i="2"/>
  <c r="AG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C37" i="2"/>
  <c r="B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T36" i="2"/>
  <c r="AS36" i="2"/>
  <c r="AR36" i="2"/>
  <c r="AQ36" i="2"/>
  <c r="AO36" i="2"/>
  <c r="AN36" i="2"/>
  <c r="AM36" i="2"/>
  <c r="AL36" i="2"/>
  <c r="AK36" i="2"/>
  <c r="AJ36" i="2"/>
  <c r="AI36" i="2"/>
  <c r="AH36" i="2"/>
  <c r="AG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C36" i="2"/>
  <c r="B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T35" i="2"/>
  <c r="AS35" i="2"/>
  <c r="AR35" i="2"/>
  <c r="AQ35" i="2"/>
  <c r="AO35" i="2"/>
  <c r="AN35" i="2"/>
  <c r="AM35" i="2"/>
  <c r="AL35" i="2"/>
  <c r="AK35" i="2"/>
  <c r="AJ35" i="2"/>
  <c r="AI35" i="2"/>
  <c r="AH35" i="2"/>
  <c r="AG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C35" i="2"/>
  <c r="B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T34" i="2"/>
  <c r="AS34" i="2"/>
  <c r="AR34" i="2"/>
  <c r="AQ34" i="2"/>
  <c r="AO34" i="2"/>
  <c r="AN34" i="2"/>
  <c r="AM34" i="2"/>
  <c r="AL34" i="2"/>
  <c r="AK34" i="2"/>
  <c r="AJ34" i="2"/>
  <c r="AI34" i="2"/>
  <c r="AH34" i="2"/>
  <c r="AG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C34" i="2"/>
  <c r="B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T33" i="2"/>
  <c r="AS33" i="2"/>
  <c r="AR33" i="2"/>
  <c r="AQ33" i="2"/>
  <c r="AO33" i="2"/>
  <c r="AN33" i="2"/>
  <c r="AM33" i="2"/>
  <c r="AL33" i="2"/>
  <c r="AK33" i="2"/>
  <c r="AJ33" i="2"/>
  <c r="AI33" i="2"/>
  <c r="AH33" i="2"/>
  <c r="AG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C33" i="2"/>
  <c r="B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T32" i="2"/>
  <c r="AS32" i="2"/>
  <c r="AR32" i="2"/>
  <c r="AQ32" i="2"/>
  <c r="AO32" i="2"/>
  <c r="AN32" i="2"/>
  <c r="AL32" i="2"/>
  <c r="AK32" i="2"/>
  <c r="AJ32" i="2"/>
  <c r="AI32" i="2"/>
  <c r="AH32" i="2"/>
  <c r="AG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C32" i="2"/>
  <c r="B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T31" i="2"/>
  <c r="AS31" i="2"/>
  <c r="AR31" i="2"/>
  <c r="AQ31" i="2"/>
  <c r="AO31" i="2"/>
  <c r="AN31" i="2"/>
  <c r="AL31" i="2"/>
  <c r="AK31" i="2"/>
  <c r="AJ31" i="2"/>
  <c r="AI31" i="2"/>
  <c r="AH31" i="2"/>
  <c r="AG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C31" i="2"/>
  <c r="B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T30" i="2"/>
  <c r="AS30" i="2"/>
  <c r="AR30" i="2"/>
  <c r="AQ30" i="2"/>
  <c r="AO30" i="2"/>
  <c r="AN30" i="2"/>
  <c r="AL30" i="2"/>
  <c r="AK30" i="2"/>
  <c r="AJ30" i="2"/>
  <c r="AI30" i="2"/>
  <c r="AH30" i="2"/>
  <c r="AG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C30" i="2"/>
  <c r="B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T29" i="2"/>
  <c r="AS29" i="2"/>
  <c r="AR29" i="2"/>
  <c r="AQ29" i="2"/>
  <c r="AO29" i="2"/>
  <c r="AN29" i="2"/>
  <c r="AL29" i="2"/>
  <c r="AK29" i="2"/>
  <c r="AJ29" i="2"/>
  <c r="AI29" i="2"/>
  <c r="AH29" i="2"/>
  <c r="AG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C29" i="2"/>
  <c r="B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T28" i="2"/>
  <c r="AS28" i="2"/>
  <c r="AR28" i="2"/>
  <c r="AQ28" i="2"/>
  <c r="AO28" i="2"/>
  <c r="AN28" i="2"/>
  <c r="AM28" i="2"/>
  <c r="AL28" i="2"/>
  <c r="AK28" i="2"/>
  <c r="AJ28" i="2"/>
  <c r="AI28" i="2"/>
  <c r="AH28" i="2"/>
  <c r="AG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C28" i="2"/>
  <c r="B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T27" i="2"/>
  <c r="AS27" i="2"/>
  <c r="AR27" i="2"/>
  <c r="AQ27" i="2"/>
  <c r="AO27" i="2"/>
  <c r="AN27" i="2"/>
  <c r="AM27" i="2"/>
  <c r="AL27" i="2"/>
  <c r="AK27" i="2"/>
  <c r="AJ27" i="2"/>
  <c r="AI27" i="2"/>
  <c r="AH27" i="2"/>
  <c r="AG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27" i="2"/>
  <c r="B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T26" i="2"/>
  <c r="AS26" i="2"/>
  <c r="AR26" i="2"/>
  <c r="AQ26" i="2"/>
  <c r="AO26" i="2"/>
  <c r="AN26" i="2"/>
  <c r="AM26" i="2"/>
  <c r="AL26" i="2"/>
  <c r="AK26" i="2"/>
  <c r="AJ26" i="2"/>
  <c r="AI26" i="2"/>
  <c r="AH26" i="2"/>
  <c r="AG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B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T25" i="2"/>
  <c r="AS25" i="2"/>
  <c r="AR25" i="2"/>
  <c r="AQ25" i="2"/>
  <c r="AO25" i="2"/>
  <c r="AN25" i="2"/>
  <c r="AM25" i="2"/>
  <c r="AL25" i="2"/>
  <c r="AK25" i="2"/>
  <c r="AJ25" i="2"/>
  <c r="AI25" i="2"/>
  <c r="AH25" i="2"/>
  <c r="AG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C25" i="2"/>
  <c r="B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T24" i="2"/>
  <c r="AS24" i="2"/>
  <c r="AR24" i="2"/>
  <c r="AQ24" i="2"/>
  <c r="AO24" i="2"/>
  <c r="AN24" i="2"/>
  <c r="AM24" i="2"/>
  <c r="AL24" i="2"/>
  <c r="AK24" i="2"/>
  <c r="AJ24" i="2"/>
  <c r="AI24" i="2"/>
  <c r="AH24" i="2"/>
  <c r="AG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24" i="2"/>
  <c r="B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T23" i="2"/>
  <c r="AS23" i="2"/>
  <c r="AR23" i="2"/>
  <c r="AQ23" i="2"/>
  <c r="AO23" i="2"/>
  <c r="AN23" i="2"/>
  <c r="AM23" i="2"/>
  <c r="AL23" i="2"/>
  <c r="AK23" i="2"/>
  <c r="AJ23" i="2"/>
  <c r="AI23" i="2"/>
  <c r="AH23" i="2"/>
  <c r="AG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B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T22" i="2"/>
  <c r="AS22" i="2"/>
  <c r="AR22" i="2"/>
  <c r="AQ22" i="2"/>
  <c r="AO22" i="2"/>
  <c r="AN22" i="2"/>
  <c r="AM22" i="2"/>
  <c r="AL22" i="2"/>
  <c r="AK22" i="2"/>
  <c r="AJ22" i="2"/>
  <c r="AI22" i="2"/>
  <c r="AH22" i="2"/>
  <c r="AG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C22" i="2"/>
  <c r="B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T21" i="2"/>
  <c r="AS21" i="2"/>
  <c r="AR21" i="2"/>
  <c r="AQ21" i="2"/>
  <c r="AO21" i="2"/>
  <c r="AN21" i="2"/>
  <c r="AM21" i="2"/>
  <c r="AL21" i="2"/>
  <c r="AK21" i="2"/>
  <c r="AJ21" i="2"/>
  <c r="AI21" i="2"/>
  <c r="AH21" i="2"/>
  <c r="AG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C21" i="2"/>
  <c r="B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T20" i="2"/>
  <c r="AS20" i="2"/>
  <c r="AR20" i="2"/>
  <c r="AQ20" i="2"/>
  <c r="AO20" i="2"/>
  <c r="AN20" i="2"/>
  <c r="AM20" i="2"/>
  <c r="AL20" i="2"/>
  <c r="AK20" i="2"/>
  <c r="AJ20" i="2"/>
  <c r="AI20" i="2"/>
  <c r="AH20" i="2"/>
  <c r="AG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20" i="2"/>
  <c r="B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T19" i="2"/>
  <c r="AS19" i="2"/>
  <c r="AR19" i="2"/>
  <c r="AQ19" i="2"/>
  <c r="AO19" i="2"/>
  <c r="AN19" i="2"/>
  <c r="AM19" i="2"/>
  <c r="AL19" i="2"/>
  <c r="AK19" i="2"/>
  <c r="AJ19" i="2"/>
  <c r="AI19" i="2"/>
  <c r="AH19" i="2"/>
  <c r="AG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19" i="2"/>
  <c r="B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T18" i="2"/>
  <c r="AS18" i="2"/>
  <c r="AR18" i="2"/>
  <c r="AQ18" i="2"/>
  <c r="AO18" i="2"/>
  <c r="AN18" i="2"/>
  <c r="AM18" i="2"/>
  <c r="AL18" i="2"/>
  <c r="AK18" i="2"/>
  <c r="AJ18" i="2"/>
  <c r="AI18" i="2"/>
  <c r="AH18" i="2"/>
  <c r="AG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C18" i="2"/>
  <c r="B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T17" i="2"/>
  <c r="AS17" i="2"/>
  <c r="AR17" i="2"/>
  <c r="AQ17" i="2"/>
  <c r="AO17" i="2"/>
  <c r="AN17" i="2"/>
  <c r="AM17" i="2"/>
  <c r="AL17" i="2"/>
  <c r="AK17" i="2"/>
  <c r="AJ17" i="2"/>
  <c r="AI17" i="2"/>
  <c r="AH17" i="2"/>
  <c r="AG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T16" i="2"/>
  <c r="AS16" i="2"/>
  <c r="AR16" i="2"/>
  <c r="AQ16" i="2"/>
  <c r="AO16" i="2"/>
  <c r="AN16" i="2"/>
  <c r="AM16" i="2"/>
  <c r="AL16" i="2"/>
  <c r="AK16" i="2"/>
  <c r="AJ16" i="2"/>
  <c r="AI16" i="2"/>
  <c r="AH16" i="2"/>
  <c r="AG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T15" i="2"/>
  <c r="AS15" i="2"/>
  <c r="AR15" i="2"/>
  <c r="AQ15" i="2"/>
  <c r="AO15" i="2"/>
  <c r="AN15" i="2"/>
  <c r="AL15" i="2"/>
  <c r="AK15" i="2"/>
  <c r="AJ15" i="2"/>
  <c r="AI15" i="2"/>
  <c r="AH15" i="2"/>
  <c r="AG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T14" i="2"/>
  <c r="AS14" i="2"/>
  <c r="AR14" i="2"/>
  <c r="AQ14" i="2"/>
  <c r="AO14" i="2"/>
  <c r="AN14" i="2"/>
  <c r="AM14" i="2"/>
  <c r="AL14" i="2"/>
  <c r="AK14" i="2"/>
  <c r="AJ14" i="2"/>
  <c r="AI14" i="2"/>
  <c r="AH14" i="2"/>
  <c r="AG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T13" i="2"/>
  <c r="AS13" i="2"/>
  <c r="AR13" i="2"/>
  <c r="AQ13" i="2"/>
  <c r="AO13" i="2"/>
  <c r="AN13" i="2"/>
  <c r="AM13" i="2"/>
  <c r="AL13" i="2"/>
  <c r="AK13" i="2"/>
  <c r="AJ13" i="2"/>
  <c r="AI13" i="2"/>
  <c r="AH13" i="2"/>
  <c r="AG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T12" i="2"/>
  <c r="AS12" i="2"/>
  <c r="AR12" i="2"/>
  <c r="AQ12" i="2"/>
  <c r="AO12" i="2"/>
  <c r="AN12" i="2"/>
  <c r="AM12" i="2"/>
  <c r="AL12" i="2"/>
  <c r="AK12" i="2"/>
  <c r="AJ12" i="2"/>
  <c r="AI12" i="2"/>
  <c r="AH12" i="2"/>
  <c r="AG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B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T11" i="2"/>
  <c r="AS11" i="2"/>
  <c r="AR11" i="2"/>
  <c r="AQ11" i="2"/>
  <c r="AO11" i="2"/>
  <c r="AN11" i="2"/>
  <c r="AM11" i="2"/>
  <c r="AL11" i="2"/>
  <c r="AK11" i="2"/>
  <c r="AJ11" i="2"/>
  <c r="AI11" i="2"/>
  <c r="AH11" i="2"/>
  <c r="AG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C11" i="2"/>
  <c r="B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T10" i="2"/>
  <c r="AS10" i="2"/>
  <c r="AR10" i="2"/>
  <c r="AQ10" i="2"/>
  <c r="AO10" i="2"/>
  <c r="AN10" i="2"/>
  <c r="AM10" i="2"/>
  <c r="AL10" i="2"/>
  <c r="AK10" i="2"/>
  <c r="AJ10" i="2"/>
  <c r="AI10" i="2"/>
  <c r="AH10" i="2"/>
  <c r="AG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C10" i="2"/>
  <c r="B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T9" i="2"/>
  <c r="AS9" i="2"/>
  <c r="AR9" i="2"/>
  <c r="AQ9" i="2"/>
  <c r="AO9" i="2"/>
  <c r="AN9" i="2"/>
  <c r="AM9" i="2"/>
  <c r="AL9" i="2"/>
  <c r="AK9" i="2"/>
  <c r="AJ9" i="2"/>
  <c r="AI9" i="2"/>
  <c r="AH9" i="2"/>
  <c r="AG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T8" i="2"/>
  <c r="AS8" i="2"/>
  <c r="AR8" i="2"/>
  <c r="AQ8" i="2"/>
  <c r="AO8" i="2"/>
  <c r="AN8" i="2"/>
  <c r="AM8" i="2"/>
  <c r="AL8" i="2"/>
  <c r="AK8" i="2"/>
  <c r="AJ8" i="2"/>
  <c r="AI8" i="2"/>
  <c r="AH8" i="2"/>
  <c r="AG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T7" i="2"/>
  <c r="AS7" i="2"/>
  <c r="AR7" i="2"/>
  <c r="AQ7" i="2"/>
  <c r="AO7" i="2"/>
  <c r="AN7" i="2"/>
  <c r="AM7" i="2"/>
  <c r="AL7" i="2"/>
  <c r="AK7" i="2"/>
  <c r="AJ7" i="2"/>
  <c r="AI7" i="2"/>
  <c r="AH7" i="2"/>
  <c r="AG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T6" i="2"/>
  <c r="AS6" i="2"/>
  <c r="AR6" i="2"/>
  <c r="AQ6" i="2"/>
  <c r="AO6" i="2"/>
  <c r="AN6" i="2"/>
  <c r="AM6" i="2"/>
  <c r="AL6" i="2"/>
  <c r="AK6" i="2"/>
  <c r="AJ6" i="2"/>
  <c r="AI6" i="2"/>
  <c r="AH6" i="2"/>
  <c r="AG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B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T5" i="2"/>
  <c r="AS5" i="2"/>
  <c r="AR5" i="2"/>
  <c r="AQ5" i="2"/>
  <c r="AO5" i="2"/>
  <c r="AN5" i="2"/>
  <c r="AL5" i="2"/>
  <c r="AK5" i="2"/>
  <c r="AJ5" i="2"/>
  <c r="AI5" i="2"/>
  <c r="AH5" i="2"/>
  <c r="AG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C5" i="2"/>
  <c r="B5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T4" i="2"/>
  <c r="AS4" i="2"/>
  <c r="AR4" i="2"/>
  <c r="AQ4" i="2"/>
  <c r="AO4" i="2"/>
  <c r="AN4" i="2"/>
  <c r="AL4" i="2"/>
  <c r="AK4" i="2"/>
  <c r="AJ4" i="2"/>
  <c r="AI4" i="2"/>
  <c r="AH4" i="2"/>
  <c r="AG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B4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T3" i="2"/>
  <c r="AS3" i="2"/>
  <c r="AR3" i="2"/>
  <c r="AQ3" i="2"/>
  <c r="AO3" i="2"/>
  <c r="AN3" i="2"/>
  <c r="AL3" i="2"/>
  <c r="AK3" i="2"/>
  <c r="AJ3" i="2"/>
  <c r="AI3" i="2"/>
  <c r="AH3" i="2"/>
  <c r="AG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T2" i="2"/>
  <c r="AS2" i="2"/>
  <c r="AR2" i="2"/>
  <c r="AQ2" i="2"/>
  <c r="AO2" i="2"/>
  <c r="AN2" i="2"/>
  <c r="AM2" i="2"/>
  <c r="AL2" i="2"/>
  <c r="AK2" i="2"/>
  <c r="AJ2" i="2"/>
  <c r="AI2" i="2"/>
  <c r="AH2" i="2"/>
  <c r="AG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</calcChain>
</file>

<file path=xl/sharedStrings.xml><?xml version="1.0" encoding="utf-8"?>
<sst xmlns="http://schemas.openxmlformats.org/spreadsheetml/2006/main" count="891" uniqueCount="716">
  <si>
    <t>MIN在庫日数</t>
  </si>
  <si>
    <t>MAX在庫日数</t>
  </si>
  <si>
    <t>便平均上限振れ率</t>
  </si>
  <si>
    <t>便平均下限振れ率</t>
  </si>
  <si>
    <t>かんばん情報.保証率</t>
  </si>
  <si>
    <t>ACTUATOR ASSY, SHIFT CONTROL</t>
  </si>
  <si>
    <t>ｱｷｭｴｰﾀｰASSY,ｼﾌﾄｺﾝﾄﾛｰﾙ</t>
  </si>
  <si>
    <t>ｱｷｭｴｰﾀｰASSY,ｼﾌﾄ ｺﾝﾄﾛｰﾙ</t>
  </si>
  <si>
    <t>PLUG, W/HEAD STRAIGHT SCREW</t>
  </si>
  <si>
    <t>BOLT, FLANGE</t>
  </si>
  <si>
    <t>BOLT, W/WASHER</t>
  </si>
  <si>
    <t>BOLT, FLANGE W/WASHER</t>
  </si>
  <si>
    <t>ﾎﾞﾙﾄ,ﾌﾗﾝｼﾞW/ﾜｯｼｬ</t>
  </si>
  <si>
    <t>SCREW, HEX LOBULAR</t>
  </si>
  <si>
    <t>SCREW, W/WASHER</t>
  </si>
  <si>
    <t>PLUG, BREATHER</t>
  </si>
  <si>
    <t>BOLT, MOTOR STATOR YOKE</t>
  </si>
  <si>
    <t>ﾎﾞﾙﾄ,ﾓｰﾀｰ ｽﾃｰﾀｰ ﾖｰｸ</t>
  </si>
  <si>
    <t>ﾎﾞﾙﾄ,ﾓｰﾀｰｽﾃｰﾀｰﾖｰｸ</t>
  </si>
  <si>
    <t>PLATE, OIL</t>
  </si>
  <si>
    <t>PLATE, OIL RESERVOIR LOCK</t>
  </si>
  <si>
    <t>COVER, TRANSMISSION, OIL PUMP</t>
  </si>
  <si>
    <t>ｶﾊﾞｰS/A,T/MO/P</t>
  </si>
  <si>
    <t>CAP, SHIPPING</t>
  </si>
  <si>
    <t>COVER, CONNECTOR</t>
  </si>
  <si>
    <t>SHAFT SUB-ASSY, OIL PUMP DRIVE</t>
  </si>
  <si>
    <t>ｼﾔﾌﾄ,O/Pﾄﾞﾗｲﾌﾞ</t>
  </si>
  <si>
    <t>ROD SUB-ASSY, PARKING LOCK</t>
  </si>
  <si>
    <t>ﾛｯﾄﾞS/A,ﾊﾟｰｷﾝｸﾞ ﾛｯｸ</t>
  </si>
  <si>
    <t>ﾛｯﾄﾞS/A,ﾊﾟｰｷﾝｸﾞﾛｯｸ</t>
  </si>
  <si>
    <t>BEARING, RADIAL BALL</t>
  </si>
  <si>
    <t>PAWL, PARKING LOCK</t>
  </si>
  <si>
    <t>GEAR ASSY, DIFFERENTIAL</t>
  </si>
  <si>
    <t>PIN, STRAIGHT</t>
  </si>
  <si>
    <t>SHAFT, PARKING LOCK PAWL</t>
  </si>
  <si>
    <t>COOLER ASSY, OIL</t>
  </si>
  <si>
    <t>RACE, TAPERED ROLLER BEARING, INNER</t>
  </si>
  <si>
    <t>RACE, TAPERED ROLLER BEARING, OUTER</t>
  </si>
  <si>
    <t>ROTOR, TRANSMISSION OIL PUMP DRIVEN</t>
  </si>
  <si>
    <t>ﾛｰﾀｰ,T/MO/Pﾄﾞﾘﾌﾞﾝ</t>
  </si>
  <si>
    <t>COVER SUB-ASSY, INVERTER</t>
  </si>
  <si>
    <t>COVER, INVERTER</t>
  </si>
  <si>
    <t>PLUG, TIGHT</t>
  </si>
  <si>
    <t>BRACKET, WIRE HARNESS CLAMP</t>
  </si>
  <si>
    <t>CLAMP, TEMPERATURE SENSOR</t>
  </si>
  <si>
    <t>BRACKET, PARKING LOCK PAWL</t>
  </si>
  <si>
    <t>CLAMP, TUBE</t>
  </si>
  <si>
    <t>CLAMP, TRANSAXLE APPLY TUBE, NO.1</t>
  </si>
  <si>
    <t>PLATE, OIL GUIDE</t>
  </si>
  <si>
    <t>CLAMP, SOLENOID</t>
  </si>
  <si>
    <t>SHAFT, OUTPUT</t>
  </si>
  <si>
    <t>CASE, TRANSAXLE</t>
  </si>
  <si>
    <t>COVER, MOTOR HOUSING</t>
  </si>
  <si>
    <t>ｶﾊﾞｰ,ﾓｰﾀﾊｳｼﾞﾝｸﾞ</t>
  </si>
  <si>
    <t>BOLT, STUD</t>
  </si>
  <si>
    <t>PIN SUB-ASSY, PARKING LOCK</t>
  </si>
  <si>
    <t>CONNECTOR, WIRING HARNESS</t>
  </si>
  <si>
    <t>WIRE, MOTOR REVOLUTION SENSOR</t>
  </si>
  <si>
    <t>ﾜｲﾔ-,ﾓｰﾀｰﾚﾎﾞﾘｭｰｼｮﾝｾﾝｻｰ</t>
  </si>
  <si>
    <t>TERMINAL, MOTOR CABLE</t>
  </si>
  <si>
    <t>ﾀｰﾐﾅﾙ,ﾓｰﾀｰｹｰﾌﾞﾙ</t>
  </si>
  <si>
    <t>ROTOR, MOTOR REVOLUTION SENSOR</t>
  </si>
  <si>
    <t>ﾛｰﾀｰ,ﾓｰﾀｰ ﾚﾎﾞﾘｭｰｼｮﾝ ｾﾝｻｰ</t>
  </si>
  <si>
    <t>SENSOR, MOTOR REVOLUTION</t>
  </si>
  <si>
    <t>ｾﾝｻｰ,ﾓｰﾀｰﾚﾎﾞﾘｭｰｼｮﾝ</t>
  </si>
  <si>
    <t>ｾﾝｻｰ,ﾓｰﾀｰ ﾚﾎﾞﾘｭｰｼｮﾝ</t>
  </si>
  <si>
    <t>LEVER SUB-ASSY, PARKING LOCK</t>
  </si>
  <si>
    <t>CLAMP, WIRING</t>
  </si>
  <si>
    <t>SPRING, TORSION</t>
  </si>
  <si>
    <t>SPRING, RETAINER</t>
  </si>
  <si>
    <t>PIN, SLOTTED SPRING</t>
  </si>
  <si>
    <t>WIRE, TRANSMISSION</t>
  </si>
  <si>
    <t>INVERTER ASSY, EV MOTOR CONTROL</t>
  </si>
  <si>
    <t>INVERTER ASSY, EV MOTOR CONTRO</t>
  </si>
  <si>
    <t>PIPE, INVERTER COOLANT</t>
  </si>
  <si>
    <t>SEAL, TYPE T OIL</t>
  </si>
  <si>
    <t>RING, O</t>
  </si>
  <si>
    <t>PIPE ASSY, MOTOR COOLING, NO.1</t>
  </si>
  <si>
    <t>ﾊﾟｲﾌﾟASSY,ﾓｰﾀｰｸﾘｰﾆﾝｸﾞNO.1</t>
  </si>
  <si>
    <t>ﾊﾟｲﾌﾟASSY,ﾓｰﾀｰｸｰﾘﾝｸﾞ</t>
  </si>
  <si>
    <t>BEARING, NEEDLE ROLLER</t>
  </si>
  <si>
    <t>SHAFT, PARKING LOCK, NO.1</t>
  </si>
  <si>
    <t>ｼｬﾌﾄ,ﾊﾟｰｷﾝｸﾞ ﾛｯｸ,NO.1</t>
  </si>
  <si>
    <t>PLATE, TRANSMISSION CASE</t>
  </si>
  <si>
    <t>MAGNET, OIL CLEANER</t>
  </si>
  <si>
    <t>WASHER, PLATE</t>
  </si>
  <si>
    <t>ﾀｰﾐﾅﾙ,ﾓｰﾀｰ ｹｰﾌﾞﾙ</t>
  </si>
  <si>
    <t>ﾜｲﾔ-,ﾓｰﾀｰ ﾚﾎﾞﾘｭｰｼｮﾝ ｾﾝｻｰ</t>
  </si>
  <si>
    <t>TUBE, TRANSAXLE LUBE APPLY</t>
  </si>
  <si>
    <t>TUBE, DIFFERENTIAL GEAR LUBE APPLY</t>
  </si>
  <si>
    <t>TUBE, TRANSMISSION OIL PAN</t>
  </si>
  <si>
    <t>STRAINER, OIL</t>
  </si>
  <si>
    <t>SPRING SUB-ASSY, MANUAL DETENT</t>
  </si>
  <si>
    <t>COVER, DETENT SPRING</t>
  </si>
  <si>
    <t>(CA), TRANSMISSION OIL PUMP COVER</t>
  </si>
  <si>
    <t>(CA),T/M OIL PUMP COVER</t>
  </si>
  <si>
    <t>(CA), MOTOR ROTOR END PLATE</t>
  </si>
  <si>
    <t>ﾌﾟﾚｰﾄ,ﾓｰﾀｰ ﾛｰﾀｰ ｴﾝﾄﾞ</t>
  </si>
  <si>
    <t>ROTOR, TRANSMISSION OIL PUMP DRIVE</t>
  </si>
  <si>
    <t>ﾛｰﾀｰ,T/M O/P ﾄﾞﾗｲﾌﾞ</t>
  </si>
  <si>
    <t>SPRING, COMPRESSION</t>
  </si>
  <si>
    <t>WASHER, CONICAL SPRING</t>
  </si>
  <si>
    <t>ﾜｯｼｬ,ｺﾆｶﾙ ｽﾌﾟﾘﾝｸﾞ</t>
  </si>
  <si>
    <t>DAMPER, RUBBER</t>
  </si>
  <si>
    <t>ﾀﾞﾝﾊﾟ,ﾗﾊﾞｰ</t>
  </si>
  <si>
    <t>(FO), OUTPUT SHAFT</t>
  </si>
  <si>
    <t>(FO), ROTOR SHAFT</t>
  </si>
  <si>
    <t>(CA), TRANSAXLE CASE</t>
  </si>
  <si>
    <t>(CA), MOTOR HOUSING COVER</t>
  </si>
  <si>
    <t>SENSOR, TEMPERATURE</t>
  </si>
  <si>
    <t>RUBBER, MOTOR COOLING PIPE</t>
  </si>
  <si>
    <t>ﾗﾊﾞｰ,ﾓｰﾀｰ ｸｰﾘﾝｸﾞ ﾊﾟｲﾌﾟ</t>
  </si>
  <si>
    <t>MAGNET, MOTOR ROTOR</t>
  </si>
  <si>
    <t>ｷｬｯﾌﾟ,ﾓｰﾀｰ ｹｰﾌﾞﾙ ﾀｰﾐﾅﾙ</t>
  </si>
  <si>
    <t>品番</t>
  </si>
  <si>
    <t>35300ECB010</t>
  </si>
  <si>
    <t>355806GA020</t>
  </si>
  <si>
    <t>35580ECB010</t>
  </si>
  <si>
    <t>35580ECB011</t>
  </si>
  <si>
    <t>9010506A003</t>
  </si>
  <si>
    <t>9010506A089</t>
  </si>
  <si>
    <t>9010508A042</t>
  </si>
  <si>
    <t>9010512A018</t>
  </si>
  <si>
    <t>9011906A065</t>
  </si>
  <si>
    <t>9014908A008</t>
  </si>
  <si>
    <t>9015905A007</t>
  </si>
  <si>
    <t>9015906A017</t>
  </si>
  <si>
    <t>9015906A021</t>
  </si>
  <si>
    <t>9015906A022</t>
  </si>
  <si>
    <t>9015906A023</t>
  </si>
  <si>
    <t>9034114A004</t>
  </si>
  <si>
    <t>9034118A024</t>
  </si>
  <si>
    <t>G1163ECA010</t>
  </si>
  <si>
    <t>G1163ECB010</t>
  </si>
  <si>
    <t>G1163ECE010</t>
  </si>
  <si>
    <t>35145ECE020</t>
  </si>
  <si>
    <t>35174ECA020</t>
  </si>
  <si>
    <t>35174ECB010</t>
  </si>
  <si>
    <t>35174ECE010</t>
  </si>
  <si>
    <t>35174ECE020</t>
  </si>
  <si>
    <t>35312ECB010</t>
  </si>
  <si>
    <t>01912ECB040</t>
  </si>
  <si>
    <t>019128GA010</t>
  </si>
  <si>
    <t>01912ECB010</t>
  </si>
  <si>
    <t>82821CWA030</t>
  </si>
  <si>
    <t>82821ECB010</t>
  </si>
  <si>
    <t>82821ECB020</t>
  </si>
  <si>
    <t>82821ECB040</t>
  </si>
  <si>
    <t>82821ECB050</t>
  </si>
  <si>
    <t>82821ECE010</t>
  </si>
  <si>
    <t>82821XAE010</t>
  </si>
  <si>
    <t>82821XAE020</t>
  </si>
  <si>
    <t>36108ECB010</t>
  </si>
  <si>
    <t>35501ECA020</t>
  </si>
  <si>
    <t>35501ECB010</t>
  </si>
  <si>
    <t>9034120A009</t>
  </si>
  <si>
    <t>9036345A004</t>
  </si>
  <si>
    <t>35557ECA020</t>
  </si>
  <si>
    <t>35557ECB010</t>
  </si>
  <si>
    <t>41310ECB010</t>
  </si>
  <si>
    <t>41310ECE010</t>
  </si>
  <si>
    <t>35556ECB010</t>
  </si>
  <si>
    <t>9025006A007</t>
  </si>
  <si>
    <t>33490ECA010</t>
  </si>
  <si>
    <t>33490ECB010</t>
  </si>
  <si>
    <t>9036628A005</t>
  </si>
  <si>
    <t>9036628A006</t>
  </si>
  <si>
    <t>9036628A007</t>
  </si>
  <si>
    <t>9036628A008</t>
  </si>
  <si>
    <t>9036630A016</t>
  </si>
  <si>
    <t>9036630A017</t>
  </si>
  <si>
    <t>9036630A018</t>
  </si>
  <si>
    <t>9036651A030</t>
  </si>
  <si>
    <t>9036651A031</t>
  </si>
  <si>
    <t>9036652A003</t>
  </si>
  <si>
    <t>9036652A004</t>
  </si>
  <si>
    <t>9036658A001</t>
  </si>
  <si>
    <t>9036658A002</t>
  </si>
  <si>
    <t>9036659A009</t>
  </si>
  <si>
    <t>9036659A010</t>
  </si>
  <si>
    <t>35352ECB010</t>
  </si>
  <si>
    <t>G9201ECA010</t>
  </si>
  <si>
    <t>G9201ECB030</t>
  </si>
  <si>
    <t>G9201ECE010</t>
  </si>
  <si>
    <t>G9221ECB010</t>
  </si>
  <si>
    <t>35145ECA020</t>
  </si>
  <si>
    <t>35198ECE010</t>
  </si>
  <si>
    <t>3548255A010</t>
  </si>
  <si>
    <t>35482TFA010</t>
  </si>
  <si>
    <t>35595ECA010</t>
  </si>
  <si>
    <t>9033106A003</t>
  </si>
  <si>
    <t>9033106A006</t>
  </si>
  <si>
    <t>9033128A001</t>
  </si>
  <si>
    <t>9033904A002</t>
  </si>
  <si>
    <t>9033904A003</t>
  </si>
  <si>
    <t>35145ECA010</t>
  </si>
  <si>
    <t>35145ECB010</t>
  </si>
  <si>
    <t>35145ECE010</t>
  </si>
  <si>
    <t>35195ECE010</t>
  </si>
  <si>
    <t>35195TFG010</t>
  </si>
  <si>
    <t>35257ECA010</t>
  </si>
  <si>
    <t>35285ECA010</t>
  </si>
  <si>
    <t>9046214A008</t>
  </si>
  <si>
    <t>9046214A009</t>
  </si>
  <si>
    <t>35771ECB010</t>
  </si>
  <si>
    <t>35771ECE010</t>
  </si>
  <si>
    <t>35141ECA020</t>
  </si>
  <si>
    <t>35141ECB010</t>
  </si>
  <si>
    <t>35141ECE010</t>
  </si>
  <si>
    <t>39171ECA040</t>
  </si>
  <si>
    <t>39171ECB010</t>
  </si>
  <si>
    <t>39171ECE010</t>
  </si>
  <si>
    <t>01912ECB060</t>
  </si>
  <si>
    <t>9034108A007</t>
  </si>
  <si>
    <t>3559850A010</t>
  </si>
  <si>
    <t>82824ECE010</t>
  </si>
  <si>
    <t>G1174ECB010</t>
  </si>
  <si>
    <t>G1174ECE010</t>
  </si>
  <si>
    <t>G1144ECB010</t>
  </si>
  <si>
    <t>G1172ECA010</t>
  </si>
  <si>
    <t>G117362010</t>
  </si>
  <si>
    <t>G1173ECA010</t>
  </si>
  <si>
    <t>Y021782011</t>
  </si>
  <si>
    <t>3519510A010</t>
  </si>
  <si>
    <t>35505ECA020</t>
  </si>
  <si>
    <t>35505ECB010</t>
  </si>
  <si>
    <t>9094906A012</t>
  </si>
  <si>
    <t>34989ECA040</t>
  </si>
  <si>
    <t>34989ECB010</t>
  </si>
  <si>
    <t>34989ECB020</t>
  </si>
  <si>
    <t>34989ECB030</t>
  </si>
  <si>
    <t>34989ECC010</t>
  </si>
  <si>
    <t>34989ECE010</t>
  </si>
  <si>
    <t>34989ECE020</t>
  </si>
  <si>
    <t>34989ECE030</t>
  </si>
  <si>
    <t>9050827A011</t>
  </si>
  <si>
    <t>9050827A013</t>
  </si>
  <si>
    <t>9052409A003</t>
  </si>
  <si>
    <t>82125ECA020</t>
  </si>
  <si>
    <t>82125ECB020</t>
  </si>
  <si>
    <t>82125ECC020</t>
  </si>
  <si>
    <t>82125ECE020</t>
  </si>
  <si>
    <t>82125ECE030</t>
  </si>
  <si>
    <t>82125ECE040</t>
  </si>
  <si>
    <t>G9210ECA010</t>
  </si>
  <si>
    <t>G9210ECB010</t>
  </si>
  <si>
    <t>G9210ECC010</t>
  </si>
  <si>
    <t>G9210ECE010</t>
  </si>
  <si>
    <t>G9210ECE020</t>
  </si>
  <si>
    <t>G9210ECE030</t>
  </si>
  <si>
    <t>G9351ECB010</t>
  </si>
  <si>
    <t>G9351ECE010</t>
  </si>
  <si>
    <t>9030106A018</t>
  </si>
  <si>
    <t>9030111A014</t>
  </si>
  <si>
    <t>9030115A011</t>
  </si>
  <si>
    <t>9030117A005</t>
  </si>
  <si>
    <t>9030117A010</t>
  </si>
  <si>
    <t>9030119A010</t>
  </si>
  <si>
    <t>9030119A011</t>
  </si>
  <si>
    <t>9030131A001</t>
  </si>
  <si>
    <t>9031140A056</t>
  </si>
  <si>
    <t>9031150A014</t>
  </si>
  <si>
    <t>9031150A015</t>
  </si>
  <si>
    <t>G1250ECB010</t>
  </si>
  <si>
    <t>G1250ECC010</t>
  </si>
  <si>
    <t>G1250ECE010</t>
  </si>
  <si>
    <t>9036324A003</t>
  </si>
  <si>
    <t>9036324A004</t>
  </si>
  <si>
    <t>9036324A005</t>
  </si>
  <si>
    <t>9036335A018</t>
  </si>
  <si>
    <t>9036340A010</t>
  </si>
  <si>
    <t>35561ECA020</t>
  </si>
  <si>
    <t>35165ECE010</t>
  </si>
  <si>
    <t>3539450A010</t>
  </si>
  <si>
    <t>41310ECA020</t>
  </si>
  <si>
    <t>9020150A002</t>
  </si>
  <si>
    <t>9020156A001</t>
  </si>
  <si>
    <t>9020156A002</t>
  </si>
  <si>
    <t>9056439A001</t>
  </si>
  <si>
    <t>9056439A002</t>
  </si>
  <si>
    <t>9056439A003</t>
  </si>
  <si>
    <t>9056439A004</t>
  </si>
  <si>
    <t>9056439A005</t>
  </si>
  <si>
    <t>9056439A006</t>
  </si>
  <si>
    <t>9056439A007</t>
  </si>
  <si>
    <t>9056439A008</t>
  </si>
  <si>
    <t>9056439A009</t>
  </si>
  <si>
    <t>9056446A001</t>
  </si>
  <si>
    <t>9056446A002</t>
  </si>
  <si>
    <t>9056446A003</t>
  </si>
  <si>
    <t>9056446A004</t>
  </si>
  <si>
    <t>9056446A005</t>
  </si>
  <si>
    <t>9056446A006</t>
  </si>
  <si>
    <t>9056446A007</t>
  </si>
  <si>
    <t>9056446A008</t>
  </si>
  <si>
    <t>9056446A009</t>
  </si>
  <si>
    <t>9056446A010</t>
  </si>
  <si>
    <t>9056446A011</t>
  </si>
  <si>
    <t>9056446A012</t>
  </si>
  <si>
    <t>9056446A013</t>
  </si>
  <si>
    <t>9056446A014</t>
  </si>
  <si>
    <t>9056446A015</t>
  </si>
  <si>
    <t>9056446A016</t>
  </si>
  <si>
    <t>9056446A017</t>
  </si>
  <si>
    <t>9056446A018</t>
  </si>
  <si>
    <t>9056446A019</t>
  </si>
  <si>
    <t>9056446A020</t>
  </si>
  <si>
    <t>9056446A021</t>
  </si>
  <si>
    <t>9056446A022</t>
  </si>
  <si>
    <t>9056446A023</t>
  </si>
  <si>
    <t>9056446A024</t>
  </si>
  <si>
    <t>9056446A025</t>
  </si>
  <si>
    <t>9056447A040</t>
  </si>
  <si>
    <t>9056447A041</t>
  </si>
  <si>
    <t>9056447A042</t>
  </si>
  <si>
    <t>9056447A043</t>
  </si>
  <si>
    <t>9056447A044</t>
  </si>
  <si>
    <t>9056447A045</t>
  </si>
  <si>
    <t>9056447A046</t>
  </si>
  <si>
    <t>9056447A047</t>
  </si>
  <si>
    <t>9056447A048</t>
  </si>
  <si>
    <t>9056447A049</t>
  </si>
  <si>
    <t>9056447A050</t>
  </si>
  <si>
    <t>9056447A051</t>
  </si>
  <si>
    <t>9056447A052</t>
  </si>
  <si>
    <t>9056447A053</t>
  </si>
  <si>
    <t>9056447A054</t>
  </si>
  <si>
    <t>9056447A055</t>
  </si>
  <si>
    <t>9056447A056</t>
  </si>
  <si>
    <t>9056447A057</t>
  </si>
  <si>
    <t>9056447A058</t>
  </si>
  <si>
    <t>9056447A059</t>
  </si>
  <si>
    <t>9056447A060</t>
  </si>
  <si>
    <t>9056447A061</t>
  </si>
  <si>
    <t>9056447A062</t>
  </si>
  <si>
    <t>9056447A063</t>
  </si>
  <si>
    <t>9056447A064</t>
  </si>
  <si>
    <t>9056450A001</t>
  </si>
  <si>
    <t>9056450A002</t>
  </si>
  <si>
    <t>9056450A003</t>
  </si>
  <si>
    <t>9056450A004</t>
  </si>
  <si>
    <t>9056450A005</t>
  </si>
  <si>
    <t>9056450A006</t>
  </si>
  <si>
    <t>9056450A007</t>
  </si>
  <si>
    <t>9056450A008</t>
  </si>
  <si>
    <t>9056450A009</t>
  </si>
  <si>
    <t>9056451A066</t>
  </si>
  <si>
    <t>9056451A067</t>
  </si>
  <si>
    <t>9056451A068</t>
  </si>
  <si>
    <t>9056451A069</t>
  </si>
  <si>
    <t>9056451A070</t>
  </si>
  <si>
    <t>9056451A071</t>
  </si>
  <si>
    <t>9056451A072</t>
  </si>
  <si>
    <t>9056451A073</t>
  </si>
  <si>
    <t>9056451A074</t>
  </si>
  <si>
    <t>9056451A075</t>
  </si>
  <si>
    <t>9056451A076</t>
  </si>
  <si>
    <t>9056451A077</t>
  </si>
  <si>
    <t>9056451A078</t>
  </si>
  <si>
    <t>9056451A079</t>
  </si>
  <si>
    <t>9056451A080</t>
  </si>
  <si>
    <t>9056451A081</t>
  </si>
  <si>
    <t>9056451A082</t>
  </si>
  <si>
    <t>9056451A083</t>
  </si>
  <si>
    <t>9056451A084</t>
  </si>
  <si>
    <t>9056451A085</t>
  </si>
  <si>
    <t>9056451A086</t>
  </si>
  <si>
    <t>9056451A087</t>
  </si>
  <si>
    <t>9056451A088</t>
  </si>
  <si>
    <t>9056451A089</t>
  </si>
  <si>
    <t>9056451A090</t>
  </si>
  <si>
    <t>9056451A091</t>
  </si>
  <si>
    <t>9056451A092</t>
  </si>
  <si>
    <t>9056451A093</t>
  </si>
  <si>
    <t>9056451A094</t>
  </si>
  <si>
    <t>9056451A095</t>
  </si>
  <si>
    <t>9056451A096</t>
  </si>
  <si>
    <t>9056451A097</t>
  </si>
  <si>
    <t>9056451A098</t>
  </si>
  <si>
    <t>9056451A099</t>
  </si>
  <si>
    <t>9056451A100</t>
  </si>
  <si>
    <t>9056451A101</t>
  </si>
  <si>
    <t>9056451A102</t>
  </si>
  <si>
    <t>9056451A103</t>
  </si>
  <si>
    <t>9056451A104</t>
  </si>
  <si>
    <t>9056451A105</t>
  </si>
  <si>
    <t>9056451A106</t>
  </si>
  <si>
    <t>9056451A107</t>
  </si>
  <si>
    <t>9056451A108</t>
  </si>
  <si>
    <t>9056451A109</t>
  </si>
  <si>
    <t>9056451A110</t>
  </si>
  <si>
    <t>9056451A111</t>
  </si>
  <si>
    <t>9056451A112</t>
  </si>
  <si>
    <t>9056455A018</t>
  </si>
  <si>
    <t>9056455A019</t>
  </si>
  <si>
    <t>9056455A020</t>
  </si>
  <si>
    <t>9056455A021</t>
  </si>
  <si>
    <t>9056455A022</t>
  </si>
  <si>
    <t>9056455A023</t>
  </si>
  <si>
    <t>9056455A024</t>
  </si>
  <si>
    <t>9056455A025</t>
  </si>
  <si>
    <t>9056455A026</t>
  </si>
  <si>
    <t>9056455A027</t>
  </si>
  <si>
    <t>9056455A028</t>
  </si>
  <si>
    <t>9056455A029</t>
  </si>
  <si>
    <t>9056455A030</t>
  </si>
  <si>
    <t>9056455A031</t>
  </si>
  <si>
    <t>9056455A032</t>
  </si>
  <si>
    <t>9056455A033</t>
  </si>
  <si>
    <t>9056455A034</t>
  </si>
  <si>
    <t>9056455A035</t>
  </si>
  <si>
    <t>9056455A036</t>
  </si>
  <si>
    <t>9056455A037</t>
  </si>
  <si>
    <t>9056455A038</t>
  </si>
  <si>
    <t>9056455A039</t>
  </si>
  <si>
    <t>9056455A040</t>
  </si>
  <si>
    <t>9056455A041</t>
  </si>
  <si>
    <t>9056455A042</t>
  </si>
  <si>
    <t>9056455A043</t>
  </si>
  <si>
    <t>9056455A044</t>
  </si>
  <si>
    <t>9056455A045</t>
  </si>
  <si>
    <t>9056455A046</t>
  </si>
  <si>
    <t>9056455A047</t>
  </si>
  <si>
    <t>9056455A048</t>
  </si>
  <si>
    <t>9056455A049</t>
  </si>
  <si>
    <t>9056455A050</t>
  </si>
  <si>
    <t>9056455A051</t>
  </si>
  <si>
    <t>9056455A052</t>
  </si>
  <si>
    <t>9056455A053</t>
  </si>
  <si>
    <t>9056455A054</t>
  </si>
  <si>
    <t>9056455A055</t>
  </si>
  <si>
    <t>9056455A056</t>
  </si>
  <si>
    <t>9056455A057</t>
  </si>
  <si>
    <t>9056455A058</t>
  </si>
  <si>
    <t>9056455A059</t>
  </si>
  <si>
    <t>9056455A060</t>
  </si>
  <si>
    <t>9056455A061</t>
  </si>
  <si>
    <t>9056455A062</t>
  </si>
  <si>
    <t>9056455A063</t>
  </si>
  <si>
    <t>9056455A064</t>
  </si>
  <si>
    <t>9056455A065</t>
  </si>
  <si>
    <t>9056455A066</t>
  </si>
  <si>
    <t>9056456A061</t>
  </si>
  <si>
    <t>9056456A062</t>
  </si>
  <si>
    <t>9056456A063</t>
  </si>
  <si>
    <t>9056456A064</t>
  </si>
  <si>
    <t>9056456A065</t>
  </si>
  <si>
    <t>9056456A066</t>
  </si>
  <si>
    <t>9056456A067</t>
  </si>
  <si>
    <t>9056456A068</t>
  </si>
  <si>
    <t>9056456A069</t>
  </si>
  <si>
    <t>9056456A070</t>
  </si>
  <si>
    <t>9056456A071</t>
  </si>
  <si>
    <t>9056456A072</t>
  </si>
  <si>
    <t>9056456A073</t>
  </si>
  <si>
    <t>9056456A074</t>
  </si>
  <si>
    <t>9056456A075</t>
  </si>
  <si>
    <t>9056456A076</t>
  </si>
  <si>
    <t>9056456A077</t>
  </si>
  <si>
    <t>9056456A078</t>
  </si>
  <si>
    <t>9056456A079</t>
  </si>
  <si>
    <t>9056456A080</t>
  </si>
  <si>
    <t>9056456A081</t>
  </si>
  <si>
    <t>9056456A082</t>
  </si>
  <si>
    <t>9056456A152</t>
  </si>
  <si>
    <t>9056456A153</t>
  </si>
  <si>
    <t>9056456A154</t>
  </si>
  <si>
    <t>9056456A155</t>
  </si>
  <si>
    <t>9056456A156</t>
  </si>
  <si>
    <t>9056456A157</t>
  </si>
  <si>
    <t>9056456A158</t>
  </si>
  <si>
    <t>9056456A159</t>
  </si>
  <si>
    <t>9056456A160</t>
  </si>
  <si>
    <t>9056456A161</t>
  </si>
  <si>
    <t>9056456A162</t>
  </si>
  <si>
    <t>9056456A163</t>
  </si>
  <si>
    <t>9056456A164</t>
  </si>
  <si>
    <t>9056456A165</t>
  </si>
  <si>
    <t>9056456A166</t>
  </si>
  <si>
    <t>9056456A167</t>
  </si>
  <si>
    <t>9056456A168</t>
  </si>
  <si>
    <t>9056456A169</t>
  </si>
  <si>
    <t>9056456A170</t>
  </si>
  <si>
    <t>9056456A171</t>
  </si>
  <si>
    <t>9056456A172</t>
  </si>
  <si>
    <t>9056456A173</t>
  </si>
  <si>
    <t>9056456A174</t>
  </si>
  <si>
    <t>9056456A175</t>
  </si>
  <si>
    <t>9056457A114</t>
  </si>
  <si>
    <t>9056457A115</t>
  </si>
  <si>
    <t>9056457A116</t>
  </si>
  <si>
    <t>9056457A117</t>
  </si>
  <si>
    <t>9056457A118</t>
  </si>
  <si>
    <t>9056457A119</t>
  </si>
  <si>
    <t>9056457A120</t>
  </si>
  <si>
    <t>9056457A121</t>
  </si>
  <si>
    <t>9056457A122</t>
  </si>
  <si>
    <t>9056457A123</t>
  </si>
  <si>
    <t>9056457A124</t>
  </si>
  <si>
    <t>9056457A125</t>
  </si>
  <si>
    <t>9056457A126</t>
  </si>
  <si>
    <t>9056457A127</t>
  </si>
  <si>
    <t>9056457A128</t>
  </si>
  <si>
    <t>9056457A129</t>
  </si>
  <si>
    <t>9056457A130</t>
  </si>
  <si>
    <t>9056457A131</t>
  </si>
  <si>
    <t>9056457A132</t>
  </si>
  <si>
    <t>9056457A133</t>
  </si>
  <si>
    <t>9056457A134</t>
  </si>
  <si>
    <t>9056457A135</t>
  </si>
  <si>
    <t>9056457A136</t>
  </si>
  <si>
    <t>9056457A137</t>
  </si>
  <si>
    <t>9056457A138</t>
  </si>
  <si>
    <t>9056457A139</t>
  </si>
  <si>
    <t>9056457A140</t>
  </si>
  <si>
    <t>9056457A141</t>
  </si>
  <si>
    <t>9056457A142</t>
  </si>
  <si>
    <t>9056457A143</t>
  </si>
  <si>
    <t>9056457A144</t>
  </si>
  <si>
    <t>9056457A145</t>
  </si>
  <si>
    <t>9056457A146</t>
  </si>
  <si>
    <t>9056457A147</t>
  </si>
  <si>
    <t>9056457A148</t>
  </si>
  <si>
    <t>9056457A149</t>
  </si>
  <si>
    <t>9056457A150</t>
  </si>
  <si>
    <t>9056457A151</t>
  </si>
  <si>
    <t>9056457A152</t>
  </si>
  <si>
    <t>9056457A153</t>
  </si>
  <si>
    <t>9056457A154</t>
  </si>
  <si>
    <t>9056457A155</t>
  </si>
  <si>
    <t>9056457A156</t>
  </si>
  <si>
    <t>9056457A157</t>
  </si>
  <si>
    <t>9056457A158</t>
  </si>
  <si>
    <t>9056457A159</t>
  </si>
  <si>
    <t>9056463A011</t>
  </si>
  <si>
    <t>9056463A012</t>
  </si>
  <si>
    <t>9056463A013</t>
  </si>
  <si>
    <t>9056463A014</t>
  </si>
  <si>
    <t>9056463A015</t>
  </si>
  <si>
    <t>9056463A016</t>
  </si>
  <si>
    <t>9056463A017</t>
  </si>
  <si>
    <t>9056463A018</t>
  </si>
  <si>
    <t>9056463A019</t>
  </si>
  <si>
    <t>9056463A020</t>
  </si>
  <si>
    <t>9056463A021</t>
  </si>
  <si>
    <t>9056463A022</t>
  </si>
  <si>
    <t>9056463A023</t>
  </si>
  <si>
    <t>9056463A024</t>
  </si>
  <si>
    <t>9056463A025</t>
  </si>
  <si>
    <t>9056463A026</t>
  </si>
  <si>
    <t>9056463A027</t>
  </si>
  <si>
    <t>9056463A028</t>
  </si>
  <si>
    <t>9056463A029</t>
  </si>
  <si>
    <t>9056463A030</t>
  </si>
  <si>
    <t>9056463A031</t>
  </si>
  <si>
    <t>9056463A032</t>
  </si>
  <si>
    <t>9056463A033</t>
  </si>
  <si>
    <t>9056463A034</t>
  </si>
  <si>
    <t>9056463A035</t>
  </si>
  <si>
    <t>9056463A036</t>
  </si>
  <si>
    <t>9056463A037</t>
  </si>
  <si>
    <t>9056463A038</t>
  </si>
  <si>
    <t>9056463A039</t>
  </si>
  <si>
    <t>9056463A040</t>
  </si>
  <si>
    <t>9056463A041</t>
  </si>
  <si>
    <t>9056463A042</t>
  </si>
  <si>
    <t>9056463A043</t>
  </si>
  <si>
    <t>9056463A044</t>
  </si>
  <si>
    <t>9056463A045</t>
  </si>
  <si>
    <t>9056463A046</t>
  </si>
  <si>
    <t>9056463A047</t>
  </si>
  <si>
    <t>9056463A048</t>
  </si>
  <si>
    <t>9056463A049</t>
  </si>
  <si>
    <t>9056463A050</t>
  </si>
  <si>
    <t>9056463A051</t>
  </si>
  <si>
    <t>9056463A052</t>
  </si>
  <si>
    <t>9056463A053</t>
  </si>
  <si>
    <t>9056463A054</t>
  </si>
  <si>
    <t>9056463A055</t>
  </si>
  <si>
    <t>9056463A056</t>
  </si>
  <si>
    <t>9010512A019</t>
  </si>
  <si>
    <t>82125ECA010</t>
  </si>
  <si>
    <t>82125ECB010</t>
  </si>
  <si>
    <t>82125ECE010</t>
  </si>
  <si>
    <t>82824ECA010</t>
  </si>
  <si>
    <t>82824ECB010</t>
  </si>
  <si>
    <t>82824ECB020</t>
  </si>
  <si>
    <t>G1144ECA020</t>
  </si>
  <si>
    <t>G1144ECE010</t>
  </si>
  <si>
    <t>G1174ECA030</t>
  </si>
  <si>
    <t>35847ECB010</t>
  </si>
  <si>
    <t>35847ECB020</t>
  </si>
  <si>
    <t>35847ECE020</t>
  </si>
  <si>
    <t>35882ECB010</t>
  </si>
  <si>
    <t>01912ECA020</t>
  </si>
  <si>
    <t>35125ECA010</t>
  </si>
  <si>
    <t>35441ECB010</t>
  </si>
  <si>
    <t>35441TFA010</t>
  </si>
  <si>
    <t>35409ECA020</t>
  </si>
  <si>
    <t>35409ECB010</t>
  </si>
  <si>
    <t>35599ECA020</t>
  </si>
  <si>
    <t>35312ECF010</t>
  </si>
  <si>
    <t>G1133ECD010</t>
  </si>
  <si>
    <t>35351ECB010</t>
  </si>
  <si>
    <t>9050113A083</t>
  </si>
  <si>
    <t>9050113A086</t>
  </si>
  <si>
    <t>9020843A001</t>
  </si>
  <si>
    <t>35288ECB020</t>
  </si>
  <si>
    <t>35288ECE010</t>
  </si>
  <si>
    <t>35771ECF010</t>
  </si>
  <si>
    <t>35771ECF020</t>
  </si>
  <si>
    <t>G1131ECF010</t>
  </si>
  <si>
    <t>G1131ECF020</t>
  </si>
  <si>
    <t>G1131ECF030</t>
  </si>
  <si>
    <t>35141ECD020</t>
  </si>
  <si>
    <t>35141ECD030</t>
  </si>
  <si>
    <t>35141ECD040</t>
  </si>
  <si>
    <t>39171ECD010</t>
  </si>
  <si>
    <t>39171ECD020</t>
  </si>
  <si>
    <t>39171ECD030</t>
  </si>
  <si>
    <t>89429ECB010</t>
  </si>
  <si>
    <t>36296ECB020</t>
  </si>
  <si>
    <t>9017906A006</t>
  </si>
  <si>
    <t>35561ECB010</t>
  </si>
  <si>
    <t>G1131ECF040</t>
  </si>
  <si>
    <t>G1259ECB010</t>
  </si>
  <si>
    <t>G1126ECB010</t>
  </si>
  <si>
    <t>G1126ECE010</t>
  </si>
  <si>
    <t>36296ECB010</t>
  </si>
  <si>
    <t>9017906A005</t>
  </si>
  <si>
    <t>1040052001Z</t>
  </si>
  <si>
    <t>1040183011P</t>
  </si>
  <si>
    <t>3040052001B</t>
  </si>
  <si>
    <t>2030045013L</t>
  </si>
  <si>
    <t>1040043104R</t>
  </si>
  <si>
    <t>1040113002P</t>
  </si>
  <si>
    <t>5040056001E</t>
  </si>
  <si>
    <t>2030052002N</t>
  </si>
  <si>
    <t>2030044001J</t>
  </si>
  <si>
    <t>1040132124M</t>
  </si>
  <si>
    <t>加工図符号</t>
  </si>
  <si>
    <t>類別</t>
  </si>
  <si>
    <t>品名</t>
  </si>
  <si>
    <t>整備室</t>
  </si>
  <si>
    <t>整備室名</t>
  </si>
  <si>
    <t>手配区分</t>
  </si>
  <si>
    <t>工程内外製</t>
  </si>
  <si>
    <t>工程ｺｰﾄﾞ</t>
  </si>
  <si>
    <t>発送場所</t>
  </si>
  <si>
    <t>発送場所名</t>
  </si>
  <si>
    <t>受給区分</t>
  </si>
  <si>
    <t>資材区分</t>
  </si>
  <si>
    <t>後工程内外製</t>
  </si>
  <si>
    <t>後工程ｺｰﾄﾞ</t>
  </si>
  <si>
    <t>後工程仕入先名/工場名</t>
  </si>
  <si>
    <t>受入場所</t>
  </si>
  <si>
    <t>受入場所名</t>
  </si>
  <si>
    <t>中継区分</t>
  </si>
  <si>
    <t>中継工場</t>
  </si>
  <si>
    <t>中継場所</t>
  </si>
  <si>
    <t>中継場所名</t>
  </si>
  <si>
    <t>かんばん情報.仕入先</t>
  </si>
  <si>
    <t>かんばん情報.仕入先名</t>
  </si>
  <si>
    <t>かんばん情報.背番号</t>
  </si>
  <si>
    <t>かんばん情報.工場置場所</t>
  </si>
  <si>
    <t>かんばん情報.拠点置場所</t>
  </si>
  <si>
    <t>かんばん情報.品名略ｺｰﾄﾞ</t>
  </si>
  <si>
    <t>かんばん情報.品名略名</t>
  </si>
  <si>
    <t>かんばん情報.通箱ｺｰﾄﾞ</t>
  </si>
  <si>
    <t>かんばん情報.通箱名</t>
  </si>
  <si>
    <t>かんばん情報.ｺﾝﾍﾞｱ区分</t>
  </si>
  <si>
    <t>かんばん情報.ﾌﾞﾛｯｸ区分</t>
  </si>
  <si>
    <t>かんばん情報.専用品区分</t>
  </si>
  <si>
    <t>かんばん情報.不良率</t>
  </si>
  <si>
    <t>かんばん情報.設変符号</t>
  </si>
  <si>
    <t>かんばん情報.部品大別区分</t>
  </si>
  <si>
    <t>かんばん情報.部品大別名称</t>
  </si>
  <si>
    <t>かんばん情報.発注形態区分</t>
  </si>
  <si>
    <t>かんばん情報.発注形態名称</t>
  </si>
  <si>
    <t>かんばん情報.PLコード</t>
  </si>
  <si>
    <t>登録箱種</t>
  </si>
  <si>
    <t>縦(mm)</t>
  </si>
  <si>
    <t>横(mm)</t>
  </si>
  <si>
    <t>高(mm)</t>
  </si>
  <si>
    <t>容積(m3)</t>
  </si>
  <si>
    <t>総重量(Kg)</t>
  </si>
  <si>
    <t>パレタイズ発注</t>
  </si>
  <si>
    <t>箱数</t>
  </si>
  <si>
    <t>設定計画NO</t>
  </si>
  <si>
    <t>設定日</t>
  </si>
  <si>
    <t>設定担当部署コード</t>
  </si>
  <si>
    <t>担当部署名</t>
  </si>
  <si>
    <t>設定担当者コード</t>
  </si>
  <si>
    <t>担当者名</t>
  </si>
  <si>
    <t>9010508A014</t>
    <phoneticPr fontId="18"/>
  </si>
  <si>
    <t>33490ECE010</t>
    <phoneticPr fontId="18"/>
  </si>
  <si>
    <t>COOLER ASSY, OIL</t>
    <phoneticPr fontId="18"/>
  </si>
  <si>
    <t>35595ECB010</t>
    <phoneticPr fontId="18"/>
  </si>
  <si>
    <t>BRACKET, PARKING LOCK PAWL</t>
    <phoneticPr fontId="18"/>
  </si>
  <si>
    <t>GEAR ASSY, DIFFERENTIAL</t>
    <phoneticPr fontId="18"/>
  </si>
  <si>
    <t>SCREW, W/WASHER</t>
    <phoneticPr fontId="18"/>
  </si>
  <si>
    <t>PUMP ASSY, OIL W/MOTOR</t>
    <phoneticPr fontId="18"/>
  </si>
  <si>
    <t>TERMINAL, MOTOR CABLE</t>
    <phoneticPr fontId="18"/>
  </si>
  <si>
    <t>COVER SUB-ASSY, INVERTER</t>
    <phoneticPr fontId="18"/>
  </si>
  <si>
    <t>35847ECE010</t>
    <phoneticPr fontId="18"/>
  </si>
  <si>
    <t>TUBE, TRANSAXLE LUBE APPLY</t>
    <phoneticPr fontId="18"/>
  </si>
  <si>
    <t>9034108A006</t>
    <phoneticPr fontId="18"/>
  </si>
  <si>
    <t>PLUG, W/HEAD STRAIGHT SCREW</t>
    <phoneticPr fontId="18"/>
  </si>
  <si>
    <t>9034108A010</t>
    <phoneticPr fontId="18"/>
  </si>
  <si>
    <t>納入ｻｲｸﾙ回数</t>
    <phoneticPr fontId="18"/>
  </si>
  <si>
    <t>納入ｻｲｸﾙ情報</t>
    <phoneticPr fontId="18"/>
  </si>
  <si>
    <t>納入ｻｲｸﾙ間隔</t>
    <phoneticPr fontId="18"/>
  </si>
  <si>
    <t>基準在庫日数</t>
    <phoneticPr fontId="18"/>
  </si>
  <si>
    <t>基準在庫枚数</t>
    <phoneticPr fontId="18"/>
  </si>
  <si>
    <t>かんばん情報収容数</t>
    <phoneticPr fontId="18"/>
  </si>
  <si>
    <t>仕入先名/工場名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</si>
</sst>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4">
    <cellStyle name="20% - アクセント1" xfId="19" builtinId="30" customBuiltin="1"/>
    <cellStyle name="20% - アクセント2" xfId="23" builtinId="34" customBuiltin="1"/>
    <cellStyle name="20% - アクセント3" xfId="27" builtinId="38" customBuiltin="1"/>
    <cellStyle name="20% - アクセント4" xfId="31" builtinId="42" customBuiltin="1"/>
    <cellStyle name="20% - アクセント5" xfId="35" builtinId="46" customBuiltin="1"/>
    <cellStyle name="20% - アクセント6" xfId="39" builtinId="50" customBuiltin="1"/>
    <cellStyle name="40% - アクセント1" xfId="20" builtinId="31" customBuiltin="1"/>
    <cellStyle name="40% - アクセント2" xfId="24" builtinId="35" customBuiltin="1"/>
    <cellStyle name="40% - アクセント3" xfId="28" builtinId="39" customBuiltin="1"/>
    <cellStyle name="40% - アクセント4" xfId="32" builtinId="43" customBuiltin="1"/>
    <cellStyle name="40% - アクセント5" xfId="36" builtinId="47" customBuiltin="1"/>
    <cellStyle name="40% - アクセント6" xfId="40" builtinId="51" customBuiltin="1"/>
    <cellStyle name="60% - アクセント1" xfId="21" builtinId="32" customBuiltin="1"/>
    <cellStyle name="60% - アクセント2" xfId="25" builtinId="36" customBuiltin="1"/>
    <cellStyle name="60% - アクセント3" xfId="29" builtinId="40" customBuiltin="1"/>
    <cellStyle name="60% - アクセント4" xfId="33" builtinId="44" customBuiltin="1"/>
    <cellStyle name="60% - アクセント5" xfId="37" builtinId="48" customBuiltin="1"/>
    <cellStyle name="60% - アクセント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ハイパーリンク" xfId="42" builtinId="8" hidde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合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hidden="1"/>
    <cellStyle name="普通" xfId="8" builtinId="28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13" displayName="テーブル13" ref="A1:BO557" totalsRowShown="0">
  <autoFilter ref="A1:BO557"/>
  <tableColumns count="67">
    <tableColumn id="1" name="品番"/>
    <tableColumn id="2" name="加工図符号">
      <calculatedColumnFormula>""</calculatedColumnFormula>
    </tableColumn>
    <tableColumn id="3" name="類別">
      <calculatedColumnFormula>""</calculatedColumnFormula>
    </tableColumn>
    <tableColumn id="4" name="品名"/>
    <tableColumn id="5" name="整備室">
      <calculatedColumnFormula>"1Y"</calculatedColumnFormula>
    </tableColumn>
    <tableColumn id="6" name="整備室名">
      <calculatedColumnFormula>"第１工場"</calculatedColumnFormula>
    </tableColumn>
    <tableColumn id="7" name="手配区分">
      <calculatedColumnFormula>"直送"</calculatedColumnFormula>
    </tableColumn>
    <tableColumn id="8" name="工程内外製">
      <calculatedColumnFormula>"Ｐ"</calculatedColumnFormula>
    </tableColumn>
    <tableColumn id="9" name="工程ｺｰﾄﾞ"/>
    <tableColumn id="10" name="仕入先名/工場名"/>
    <tableColumn id="11" name="発送場所"/>
    <tableColumn id="12" name="発送場所名"/>
    <tableColumn id="13" name="受給区分">
      <calculatedColumnFormula>"――"</calculatedColumnFormula>
    </tableColumn>
    <tableColumn id="14" name="資材区分">
      <calculatedColumnFormula>"――"</calculatedColumnFormula>
    </tableColumn>
    <tableColumn id="15" name="後工程内外製">
      <calculatedColumnFormula>"Ｐ"</calculatedColumnFormula>
    </tableColumn>
    <tableColumn id="16" name="後工程ｺｰﾄﾞ"/>
    <tableColumn id="17" name="後工程仕入先名/工場名"/>
    <tableColumn id="18" name="受入場所">
      <calculatedColumnFormula>"01"</calculatedColumnFormula>
    </tableColumn>
    <tableColumn id="19" name="受入場所名"/>
    <tableColumn id="20" name="中継区分">
      <calculatedColumnFormula>"直接"</calculatedColumnFormula>
    </tableColumn>
    <tableColumn id="21" name="中継工場">
      <calculatedColumnFormula>""</calculatedColumnFormula>
    </tableColumn>
    <tableColumn id="22" name="中継場所">
      <calculatedColumnFormula>""</calculatedColumnFormula>
    </tableColumn>
    <tableColumn id="23" name="中継場所名">
      <calculatedColumnFormula>""</calculatedColumnFormula>
    </tableColumn>
    <tableColumn id="24" name="納入ｻｲｸﾙ間隔"/>
    <tableColumn id="25" name="納入ｻｲｸﾙ回数"/>
    <tableColumn id="26" name="納入ｻｲｸﾙ情報"/>
    <tableColumn id="27" name="基準在庫日数"/>
    <tableColumn id="28" name="基準在庫枚数"/>
    <tableColumn id="29" name="MIN在庫日数"/>
    <tableColumn id="30" name="MAX在庫日数"/>
    <tableColumn id="31" name="便平均上限振れ率"/>
    <tableColumn id="32" name="便平均下限振れ率"/>
    <tableColumn id="33" name="かんばん情報.仕入先"/>
    <tableColumn id="34" name="かんばん情報.仕入先名"/>
    <tableColumn id="35" name="かんばん情報.背番号"/>
    <tableColumn id="36" name="かんばん情報.工場置場所">
      <calculatedColumnFormula>"CHOKUSOU"</calculatedColumnFormula>
    </tableColumn>
    <tableColumn id="37" name="かんばん情報.拠点置場所">
      <calculatedColumnFormula>""</calculatedColumnFormula>
    </tableColumn>
    <tableColumn id="38" name="かんばん情報.品名略ｺｰﾄﾞ"/>
    <tableColumn id="39" name="かんばん情報.品名略名"/>
    <tableColumn id="40" name="かんばん情報.通箱ｺｰﾄﾞ"/>
    <tableColumn id="41" name="かんばん情報.通箱名"/>
    <tableColumn id="42" name="かんばん情報収容数"/>
    <tableColumn id="43" name="かんばん情報.ｺﾝﾍﾞｱ区分">
      <calculatedColumnFormula>""</calculatedColumnFormula>
    </tableColumn>
    <tableColumn id="44" name="かんばん情報.ﾌﾞﾛｯｸ区分">
      <calculatedColumnFormula>""</calculatedColumnFormula>
    </tableColumn>
    <tableColumn id="45" name="かんばん情報.専用品区分">
      <calculatedColumnFormula>""</calculatedColumnFormula>
    </tableColumn>
    <tableColumn id="46" name="かんばん情報.不良率">
      <calculatedColumnFormula>"00"</calculatedColumnFormula>
    </tableColumn>
    <tableColumn id="47" name="かんばん情報.保証率"/>
    <tableColumn id="48" name="かんばん情報.設変符号">
      <calculatedColumnFormula>""</calculatedColumnFormula>
    </tableColumn>
    <tableColumn id="49" name="かんばん情報.部品大別区分">
      <calculatedColumnFormula>""</calculatedColumnFormula>
    </tableColumn>
    <tableColumn id="50" name="かんばん情報.部品大別名称">
      <calculatedColumnFormula>""</calculatedColumnFormula>
    </tableColumn>
    <tableColumn id="51" name="かんばん情報.発注形態区分">
      <calculatedColumnFormula>""</calculatedColumnFormula>
    </tableColumn>
    <tableColumn id="52" name="かんばん情報.発注形態名称">
      <calculatedColumnFormula>""</calculatedColumnFormula>
    </tableColumn>
    <tableColumn id="53" name="かんばん情報.PLコード">
      <calculatedColumnFormula>""</calculatedColumnFormula>
    </tableColumn>
    <tableColumn id="54" name="登録箱種">
      <calculatedColumnFormula>""</calculatedColumnFormula>
    </tableColumn>
    <tableColumn id="55" name="縦(mm)"/>
    <tableColumn id="56" name="横(mm)"/>
    <tableColumn id="57" name="高(mm)"/>
    <tableColumn id="58" name="容積(m3)"/>
    <tableColumn id="59" name="総重量(Kg)"/>
    <tableColumn id="60" name="パレタイズ発注">
      <calculatedColumnFormula>"しない"</calculatedColumnFormula>
    </tableColumn>
    <tableColumn id="61" name="箱数">
      <calculatedColumnFormula>""</calculatedColumnFormula>
    </tableColumn>
    <tableColumn id="62" name="設定計画NO"/>
    <tableColumn id="63" name="設定日"/>
    <tableColumn id="64" name="設定担当部署コード">
      <calculatedColumnFormula>"NE00"</calculatedColumnFormula>
    </tableColumn>
    <tableColumn id="65" name="担当部署名">
      <calculatedColumnFormula>"１工工務Ｇ"</calculatedColumnFormula>
    </tableColumn>
    <tableColumn id="66" name="設定担当者コード"/>
    <tableColumn id="67" name="担当者名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57"/>
  <sheetViews>
    <sheetView tabSelected="1" topLeftCell="B1" workbookViewId="0">
      <selection activeCell="J1" sqref="J1"/>
    </sheetView>
  </sheetViews>
  <sheetFormatPr baseColWidth="12" defaultRowHeight="17" x14ac:dyDescent="0"/>
  <sheetData>
    <row r="1" spans="1:67" ht="18.5" customHeight="1">
      <c r="A1" t="s">
        <v>114</v>
      </c>
      <c r="B1" t="s">
        <v>640</v>
      </c>
      <c r="C1" t="s">
        <v>641</v>
      </c>
      <c r="D1" t="s">
        <v>642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715</v>
      </c>
      <c r="K1" t="s">
        <v>648</v>
      </c>
      <c r="L1" t="s">
        <v>649</v>
      </c>
      <c r="M1" t="s">
        <v>650</v>
      </c>
      <c r="N1" t="s">
        <v>651</v>
      </c>
      <c r="O1" t="s">
        <v>652</v>
      </c>
      <c r="P1" t="s">
        <v>653</v>
      </c>
      <c r="Q1" t="s">
        <v>654</v>
      </c>
      <c r="R1" t="s">
        <v>655</v>
      </c>
      <c r="S1" t="s">
        <v>656</v>
      </c>
      <c r="T1" t="s">
        <v>657</v>
      </c>
      <c r="U1" t="s">
        <v>658</v>
      </c>
      <c r="V1" t="s">
        <v>659</v>
      </c>
      <c r="W1" t="s">
        <v>660</v>
      </c>
      <c r="X1" t="s">
        <v>711</v>
      </c>
      <c r="Y1" t="s">
        <v>709</v>
      </c>
      <c r="Z1" t="s">
        <v>710</v>
      </c>
      <c r="AA1" t="s">
        <v>712</v>
      </c>
      <c r="AB1" t="s">
        <v>713</v>
      </c>
      <c r="AC1" t="s">
        <v>0</v>
      </c>
      <c r="AD1" t="s">
        <v>1</v>
      </c>
      <c r="AE1" t="s">
        <v>2</v>
      </c>
      <c r="AF1" t="s">
        <v>3</v>
      </c>
      <c r="AG1" t="s">
        <v>661</v>
      </c>
      <c r="AH1" t="s">
        <v>662</v>
      </c>
      <c r="AI1" t="s">
        <v>663</v>
      </c>
      <c r="AJ1" t="s">
        <v>664</v>
      </c>
      <c r="AK1" t="s">
        <v>665</v>
      </c>
      <c r="AL1" t="s">
        <v>666</v>
      </c>
      <c r="AM1" t="s">
        <v>667</v>
      </c>
      <c r="AN1" t="s">
        <v>668</v>
      </c>
      <c r="AO1" t="s">
        <v>669</v>
      </c>
      <c r="AP1" t="s">
        <v>714</v>
      </c>
      <c r="AQ1" t="s">
        <v>670</v>
      </c>
      <c r="AR1" t="s">
        <v>671</v>
      </c>
      <c r="AS1" t="s">
        <v>672</v>
      </c>
      <c r="AT1" t="s">
        <v>673</v>
      </c>
      <c r="AU1" t="s">
        <v>4</v>
      </c>
      <c r="AV1" t="s">
        <v>674</v>
      </c>
      <c r="AW1" t="s">
        <v>675</v>
      </c>
      <c r="AX1" t="s">
        <v>676</v>
      </c>
      <c r="AY1" t="s">
        <v>677</v>
      </c>
      <c r="AZ1" t="s">
        <v>678</v>
      </c>
      <c r="BA1" t="s">
        <v>679</v>
      </c>
      <c r="BB1" t="s">
        <v>680</v>
      </c>
      <c r="BC1" t="s">
        <v>681</v>
      </c>
      <c r="BD1" t="s">
        <v>682</v>
      </c>
      <c r="BE1" t="s">
        <v>683</v>
      </c>
      <c r="BF1" t="s">
        <v>684</v>
      </c>
      <c r="BG1" t="s">
        <v>685</v>
      </c>
      <c r="BH1" t="s">
        <v>686</v>
      </c>
      <c r="BI1" t="s">
        <v>687</v>
      </c>
      <c r="BJ1" t="s">
        <v>688</v>
      </c>
      <c r="BK1" t="s">
        <v>689</v>
      </c>
      <c r="BL1" t="s">
        <v>690</v>
      </c>
      <c r="BM1" t="s">
        <v>691</v>
      </c>
      <c r="BN1" t="s">
        <v>692</v>
      </c>
      <c r="BO1" t="s">
        <v>693</v>
      </c>
    </row>
    <row r="2" spans="1:67">
      <c r="A2" t="s">
        <v>115</v>
      </c>
      <c r="B2" t="str">
        <f>""</f>
        <v/>
      </c>
      <c r="C2" t="str">
        <f>""</f>
        <v/>
      </c>
      <c r="D2" t="s">
        <v>701</v>
      </c>
      <c r="E2" t="str">
        <f t="shared" ref="E2:E65" si="0">"1Y"</f>
        <v>1Y</v>
      </c>
      <c r="F2" t="str">
        <f t="shared" ref="F2:F65" si="1">"第１工場"</f>
        <v>第１工場</v>
      </c>
      <c r="G2" t="str">
        <f t="shared" ref="G2:G65" si="2">"手配"</f>
        <v>手配</v>
      </c>
      <c r="H2" t="str">
        <f t="shared" ref="H2:H65" si="3">"Ｐ"</f>
        <v>Ｐ</v>
      </c>
      <c r="I2" t="str">
        <f>"0001"</f>
        <v>0001</v>
      </c>
      <c r="J2" t="str">
        <f>"アイシン精機（株）"</f>
        <v>アイシン精機（株）</v>
      </c>
      <c r="K2" t="str">
        <f>"12"</f>
        <v>12</v>
      </c>
      <c r="L2" t="str">
        <f>"半田工場"</f>
        <v>半田工場</v>
      </c>
      <c r="M2" t="str">
        <f t="shared" ref="M2:N21" si="4">"――"</f>
        <v>――</v>
      </c>
      <c r="N2" t="str">
        <f t="shared" si="4"/>
        <v>――</v>
      </c>
      <c r="O2" t="str">
        <f t="shared" ref="O2:O65" si="5">"Ｍ"</f>
        <v>Ｍ</v>
      </c>
      <c r="P2" t="str">
        <f t="shared" ref="P2:P65" si="6">"01"</f>
        <v>01</v>
      </c>
      <c r="Q2" t="str">
        <f t="shared" ref="Q2:Q65" si="7">"第１"</f>
        <v>第１</v>
      </c>
      <c r="R2" t="str">
        <f t="shared" ref="R2:R65" si="8">"1Y"</f>
        <v>1Y</v>
      </c>
      <c r="S2" t="str">
        <f t="shared" ref="S2:S65" si="9">"安城第１工場"</f>
        <v>安城第１工場</v>
      </c>
      <c r="T2" t="str">
        <f t="shared" ref="T2:T65" si="10">"直接"</f>
        <v>直接</v>
      </c>
      <c r="U2" t="str">
        <f>""</f>
        <v/>
      </c>
      <c r="V2" t="str">
        <f>""</f>
        <v/>
      </c>
      <c r="W2" t="str">
        <f>""</f>
        <v/>
      </c>
      <c r="X2">
        <v>1</v>
      </c>
      <c r="Y2">
        <v>4</v>
      </c>
      <c r="Z2">
        <v>8.0399999999999991</v>
      </c>
      <c r="AA2">
        <v>1.1200000000000001</v>
      </c>
      <c r="AB2">
        <v>3</v>
      </c>
      <c r="AC2">
        <v>1.1200000000000001</v>
      </c>
      <c r="AD2">
        <v>1.1200000000000001</v>
      </c>
      <c r="AE2">
        <v>1.1000000000000001</v>
      </c>
      <c r="AF2">
        <v>0.5</v>
      </c>
      <c r="AG2" t="str">
        <f>"001"</f>
        <v>001</v>
      </c>
      <c r="AH2" t="str">
        <f>"アイシン精機（株）"</f>
        <v>アイシン精機（株）</v>
      </c>
      <c r="AI2" t="str">
        <f>"001"</f>
        <v>001</v>
      </c>
      <c r="AJ2" t="str">
        <f>"M-MG-22"</f>
        <v>M-MG-22</v>
      </c>
      <c r="AK2" t="str">
        <f>"40428"</f>
        <v>40428</v>
      </c>
      <c r="AL2" t="str">
        <f>"0069"</f>
        <v>0069</v>
      </c>
      <c r="AM2" t="str">
        <f>"ﾃﾞﾝﾄﾞｳｵｲﾙﾎﾟﾝﾌﾟ"</f>
        <v>ﾃﾞﾝﾄﾞｳｵｲﾙﾎﾟﾝﾌﾟ</v>
      </c>
      <c r="AN2" t="str">
        <f>"060"</f>
        <v>060</v>
      </c>
      <c r="AO2" t="str">
        <f>"TP-341 ﾊﾝﾖｳ"</f>
        <v>TP-341 ﾊﾝﾖｳ</v>
      </c>
      <c r="AP2">
        <v>12</v>
      </c>
      <c r="AQ2" t="str">
        <f>""</f>
        <v/>
      </c>
      <c r="AR2" t="str">
        <f>""</f>
        <v/>
      </c>
      <c r="AS2" t="str">
        <f>""</f>
        <v/>
      </c>
      <c r="AT2" t="str">
        <f t="shared" ref="AT2:AT65" si="11">"00"</f>
        <v>00</v>
      </c>
      <c r="AU2">
        <v>0.5</v>
      </c>
      <c r="AV2" t="str">
        <f>""</f>
        <v/>
      </c>
      <c r="AW2" t="str">
        <f>"08"</f>
        <v>08</v>
      </c>
      <c r="AX2" t="str">
        <f>"専用"</f>
        <v>専用</v>
      </c>
      <c r="AY2" t="str">
        <f>"01"</f>
        <v>01</v>
      </c>
      <c r="AZ2" t="str">
        <f>"後補充"</f>
        <v>後補充</v>
      </c>
      <c r="BA2" t="str">
        <f>""</f>
        <v/>
      </c>
      <c r="BB2" t="str">
        <f>"ＴＰ３４１フタナシ"</f>
        <v>ＴＰ３４１フタナシ</v>
      </c>
      <c r="BC2" t="str">
        <f>" 335.000"</f>
        <v xml:space="preserve"> 335.000</v>
      </c>
      <c r="BD2" t="str">
        <f>" 503.000"</f>
        <v xml:space="preserve"> 503.000</v>
      </c>
      <c r="BE2" t="str">
        <f>" 103.000"</f>
        <v xml:space="preserve"> 103.000</v>
      </c>
      <c r="BF2" t="str">
        <f>"   0.017"</f>
        <v xml:space="preserve">   0.017</v>
      </c>
      <c r="BG2" t="str">
        <f>"   6.970"</f>
        <v xml:space="preserve">   6.970</v>
      </c>
      <c r="BH2" t="str">
        <f t="shared" ref="BH2:BH65" si="12">"しない"</f>
        <v>しない</v>
      </c>
      <c r="BI2" t="str">
        <f>""</f>
        <v/>
      </c>
      <c r="BJ2" t="str">
        <f t="shared" ref="BJ2:BJ65" si="13">"MASTER01"</f>
        <v>MASTER01</v>
      </c>
      <c r="BK2" t="str">
        <f>"2022/04/19"</f>
        <v>2022/04/19</v>
      </c>
      <c r="BL2" t="str">
        <f t="shared" ref="BL2:BL65" si="14">"NE00"</f>
        <v>NE00</v>
      </c>
      <c r="BM2" t="str">
        <f t="shared" ref="BM2:BM65" si="15">"１工工務Ｇ"</f>
        <v>１工工務Ｇ</v>
      </c>
      <c r="BN2" t="str">
        <f>"46548"</f>
        <v>46548</v>
      </c>
      <c r="BO2" t="str">
        <f>"長畑　玲奈"</f>
        <v>長畑　玲奈</v>
      </c>
    </row>
    <row r="3" spans="1:67">
      <c r="A3" t="s">
        <v>116</v>
      </c>
      <c r="B3" t="str">
        <f>""</f>
        <v/>
      </c>
      <c r="C3" t="str">
        <f>""</f>
        <v/>
      </c>
      <c r="D3" t="s">
        <v>5</v>
      </c>
      <c r="E3" t="str">
        <f t="shared" si="0"/>
        <v>1Y</v>
      </c>
      <c r="F3" t="str">
        <f t="shared" si="1"/>
        <v>第１工場</v>
      </c>
      <c r="G3" t="str">
        <f t="shared" si="2"/>
        <v>手配</v>
      </c>
      <c r="H3" t="str">
        <f t="shared" si="3"/>
        <v>Ｐ</v>
      </c>
      <c r="I3" t="str">
        <f>"0001"</f>
        <v>0001</v>
      </c>
      <c r="J3" t="str">
        <f>"アイシン精機（株）"</f>
        <v>アイシン精機（株）</v>
      </c>
      <c r="K3" t="str">
        <f>"12"</f>
        <v>12</v>
      </c>
      <c r="L3" t="str">
        <f>"半田工場"</f>
        <v>半田工場</v>
      </c>
      <c r="M3" t="str">
        <f t="shared" si="4"/>
        <v>――</v>
      </c>
      <c r="N3" t="str">
        <f t="shared" si="4"/>
        <v>――</v>
      </c>
      <c r="O3" t="str">
        <f t="shared" si="5"/>
        <v>Ｍ</v>
      </c>
      <c r="P3" t="str">
        <f t="shared" si="6"/>
        <v>01</v>
      </c>
      <c r="Q3" t="str">
        <f t="shared" si="7"/>
        <v>第１</v>
      </c>
      <c r="R3" t="str">
        <f t="shared" si="8"/>
        <v>1Y</v>
      </c>
      <c r="S3" t="str">
        <f t="shared" si="9"/>
        <v>安城第１工場</v>
      </c>
      <c r="T3" t="str">
        <f t="shared" si="10"/>
        <v>直接</v>
      </c>
      <c r="U3" t="str">
        <f>""</f>
        <v/>
      </c>
      <c r="V3" t="str">
        <f>""</f>
        <v/>
      </c>
      <c r="W3" t="str">
        <f>""</f>
        <v/>
      </c>
      <c r="X3">
        <v>1</v>
      </c>
      <c r="Y3">
        <v>4</v>
      </c>
      <c r="Z3">
        <v>8.0399999999999991</v>
      </c>
      <c r="AA3">
        <v>1.1200000000000001</v>
      </c>
      <c r="AB3">
        <v>3</v>
      </c>
      <c r="AC3">
        <v>1.1200000000000001</v>
      </c>
      <c r="AD3">
        <v>1.1200000000000001</v>
      </c>
      <c r="AE3">
        <v>1.1000000000000001</v>
      </c>
      <c r="AF3">
        <v>0.5</v>
      </c>
      <c r="AG3" t="str">
        <f>"001"</f>
        <v>001</v>
      </c>
      <c r="AH3" t="str">
        <f>"アイシン精機（株）"</f>
        <v>アイシン精機（株）</v>
      </c>
      <c r="AI3" t="str">
        <f>"004"</f>
        <v>004</v>
      </c>
      <c r="AJ3" t="str">
        <f>""</f>
        <v/>
      </c>
      <c r="AK3" t="str">
        <f>""</f>
        <v/>
      </c>
      <c r="AL3" t="str">
        <f>"0042"</f>
        <v>0042</v>
      </c>
      <c r="AM3" t="s">
        <v>5</v>
      </c>
      <c r="AN3" t="str">
        <f>"019"</f>
        <v>019</v>
      </c>
      <c r="AO3" t="str">
        <f>"TP-342 ｾﾝﾖｳ"</f>
        <v>TP-342 ｾﾝﾖｳ</v>
      </c>
      <c r="AP3">
        <v>6</v>
      </c>
      <c r="AQ3" t="str">
        <f>""</f>
        <v/>
      </c>
      <c r="AR3" t="str">
        <f>""</f>
        <v/>
      </c>
      <c r="AS3" t="str">
        <f>""</f>
        <v/>
      </c>
      <c r="AT3" t="str">
        <f t="shared" si="11"/>
        <v>00</v>
      </c>
      <c r="AU3">
        <v>0.5</v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"ＴＰ３４２フタアリ"</f>
        <v>ＴＰ３４２フタアリ</v>
      </c>
      <c r="BC3" t="str">
        <f>" 503.000"</f>
        <v xml:space="preserve"> 503.000</v>
      </c>
      <c r="BD3" t="str">
        <f>" 335.000"</f>
        <v xml:space="preserve"> 335.000</v>
      </c>
      <c r="BE3" t="str">
        <f>" 216.000"</f>
        <v xml:space="preserve"> 216.000</v>
      </c>
      <c r="BF3" t="str">
        <f>"   0.036"</f>
        <v xml:space="preserve">   0.036</v>
      </c>
      <c r="BG3" t="str">
        <f>"  10.680"</f>
        <v xml:space="preserve">  10.680</v>
      </c>
      <c r="BH3" t="str">
        <f t="shared" si="12"/>
        <v>しない</v>
      </c>
      <c r="BI3" t="str">
        <f>""</f>
        <v/>
      </c>
      <c r="BJ3" t="str">
        <f t="shared" si="13"/>
        <v>MASTER01</v>
      </c>
      <c r="BK3" t="str">
        <f>"2023/01/17"</f>
        <v>2023/01/17</v>
      </c>
      <c r="BL3" t="str">
        <f t="shared" si="14"/>
        <v>NE00</v>
      </c>
      <c r="BM3" t="str">
        <f t="shared" si="15"/>
        <v>１工工務Ｇ</v>
      </c>
      <c r="BN3" t="str">
        <f>"46548"</f>
        <v>46548</v>
      </c>
      <c r="BO3" t="str">
        <f>"長畑　玲奈"</f>
        <v>長畑　玲奈</v>
      </c>
    </row>
    <row r="4" spans="1:67">
      <c r="A4" t="s">
        <v>117</v>
      </c>
      <c r="B4" t="str">
        <f>""</f>
        <v/>
      </c>
      <c r="C4" t="str">
        <f>""</f>
        <v/>
      </c>
      <c r="D4" t="s">
        <v>5</v>
      </c>
      <c r="E4" t="str">
        <f t="shared" si="0"/>
        <v>1Y</v>
      </c>
      <c r="F4" t="str">
        <f t="shared" si="1"/>
        <v>第１工場</v>
      </c>
      <c r="G4" t="str">
        <f t="shared" si="2"/>
        <v>手配</v>
      </c>
      <c r="H4" t="str">
        <f t="shared" si="3"/>
        <v>Ｐ</v>
      </c>
      <c r="I4" t="str">
        <f>"0001"</f>
        <v>0001</v>
      </c>
      <c r="J4" t="str">
        <f>"アイシン精機（株）"</f>
        <v>アイシン精機（株）</v>
      </c>
      <c r="K4" t="str">
        <f>"12"</f>
        <v>12</v>
      </c>
      <c r="L4" t="str">
        <f>"半田工場"</f>
        <v>半田工場</v>
      </c>
      <c r="M4" t="str">
        <f t="shared" si="4"/>
        <v>――</v>
      </c>
      <c r="N4" t="str">
        <f t="shared" si="4"/>
        <v>――</v>
      </c>
      <c r="O4" t="str">
        <f t="shared" si="5"/>
        <v>Ｍ</v>
      </c>
      <c r="P4" t="str">
        <f t="shared" si="6"/>
        <v>01</v>
      </c>
      <c r="Q4" t="str">
        <f t="shared" si="7"/>
        <v>第１</v>
      </c>
      <c r="R4" t="str">
        <f t="shared" si="8"/>
        <v>1Y</v>
      </c>
      <c r="S4" t="str">
        <f t="shared" si="9"/>
        <v>安城第１工場</v>
      </c>
      <c r="T4" t="str">
        <f t="shared" si="10"/>
        <v>直接</v>
      </c>
      <c r="U4" t="str">
        <f>""</f>
        <v/>
      </c>
      <c r="V4" t="str">
        <f>""</f>
        <v/>
      </c>
      <c r="W4" t="str">
        <f>""</f>
        <v/>
      </c>
      <c r="X4">
        <v>1</v>
      </c>
      <c r="Y4">
        <v>4</v>
      </c>
      <c r="Z4">
        <v>8.0399999999999991</v>
      </c>
      <c r="AA4">
        <v>1.1200000000000001</v>
      </c>
      <c r="AB4">
        <v>3</v>
      </c>
      <c r="AC4">
        <v>1.1200000000000001</v>
      </c>
      <c r="AD4">
        <v>1.1200000000000001</v>
      </c>
      <c r="AE4">
        <v>1.1000000000000001</v>
      </c>
      <c r="AF4">
        <v>0.5</v>
      </c>
      <c r="AG4" t="str">
        <f>"001"</f>
        <v>001</v>
      </c>
      <c r="AH4" t="str">
        <f>"アイシン精機（株）"</f>
        <v>アイシン精機（株）</v>
      </c>
      <c r="AI4" t="str">
        <f>"002"</f>
        <v>002</v>
      </c>
      <c r="AJ4" t="str">
        <f>"I1-12"</f>
        <v>I1-12</v>
      </c>
      <c r="AK4" t="str">
        <f>"50485"</f>
        <v>50485</v>
      </c>
      <c r="AL4" t="str">
        <f>"0042"</f>
        <v>0042</v>
      </c>
      <c r="AM4" t="s">
        <v>6</v>
      </c>
      <c r="AN4" t="str">
        <f>"019"</f>
        <v>019</v>
      </c>
      <c r="AO4" t="str">
        <f>"TP-342 ｾﾝﾖｳ"</f>
        <v>TP-342 ｾﾝﾖｳ</v>
      </c>
      <c r="AP4">
        <v>6</v>
      </c>
      <c r="AQ4" t="str">
        <f>""</f>
        <v/>
      </c>
      <c r="AR4" t="str">
        <f>""</f>
        <v/>
      </c>
      <c r="AS4" t="str">
        <f>""</f>
        <v/>
      </c>
      <c r="AT4" t="str">
        <f t="shared" si="11"/>
        <v>00</v>
      </c>
      <c r="AU4">
        <v>0.5</v>
      </c>
      <c r="AV4" t="str">
        <f>""</f>
        <v/>
      </c>
      <c r="AW4" t="str">
        <f t="shared" ref="AW4:AW18" si="16">"08"</f>
        <v>08</v>
      </c>
      <c r="AX4" t="str">
        <f t="shared" ref="AX4:AX18" si="17">"専用"</f>
        <v>専用</v>
      </c>
      <c r="AY4" t="str">
        <f t="shared" ref="AY4:AY18" si="18">"01"</f>
        <v>01</v>
      </c>
      <c r="AZ4" t="str">
        <f t="shared" ref="AZ4:AZ18" si="19">"後補充"</f>
        <v>後補充</v>
      </c>
      <c r="BA4" t="str">
        <f>""</f>
        <v/>
      </c>
      <c r="BB4" t="str">
        <f>"ＴＰ３４２フタアリ"</f>
        <v>ＴＰ３４２フタアリ</v>
      </c>
      <c r="BC4" t="str">
        <f>" 503.000"</f>
        <v xml:space="preserve"> 503.000</v>
      </c>
      <c r="BD4" t="str">
        <f>" 335.000"</f>
        <v xml:space="preserve"> 335.000</v>
      </c>
      <c r="BE4" t="str">
        <f>" 216.000"</f>
        <v xml:space="preserve"> 216.000</v>
      </c>
      <c r="BF4" t="str">
        <f>"   0.036"</f>
        <v xml:space="preserve">   0.036</v>
      </c>
      <c r="BG4" t="str">
        <f>"  10.680"</f>
        <v xml:space="preserve">  10.680</v>
      </c>
      <c r="BH4" t="str">
        <f t="shared" si="12"/>
        <v>しない</v>
      </c>
      <c r="BI4" t="str">
        <f>""</f>
        <v/>
      </c>
      <c r="BJ4" t="str">
        <f t="shared" si="13"/>
        <v>MASTER01</v>
      </c>
      <c r="BK4" t="str">
        <f>"2022/04/19"</f>
        <v>2022/04/19</v>
      </c>
      <c r="BL4" t="str">
        <f t="shared" si="14"/>
        <v>NE00</v>
      </c>
      <c r="BM4" t="str">
        <f t="shared" si="15"/>
        <v>１工工務Ｇ</v>
      </c>
      <c r="BN4" t="str">
        <f>"46548"</f>
        <v>46548</v>
      </c>
      <c r="BO4" t="str">
        <f>"長畑　玲奈"</f>
        <v>長畑　玲奈</v>
      </c>
    </row>
    <row r="5" spans="1:67">
      <c r="A5" t="s">
        <v>118</v>
      </c>
      <c r="B5" t="str">
        <f>""</f>
        <v/>
      </c>
      <c r="C5" t="str">
        <f>""</f>
        <v/>
      </c>
      <c r="D5" t="s">
        <v>5</v>
      </c>
      <c r="E5" t="str">
        <f t="shared" si="0"/>
        <v>1Y</v>
      </c>
      <c r="F5" t="str">
        <f t="shared" si="1"/>
        <v>第１工場</v>
      </c>
      <c r="G5" t="str">
        <f t="shared" si="2"/>
        <v>手配</v>
      </c>
      <c r="H5" t="str">
        <f t="shared" si="3"/>
        <v>Ｐ</v>
      </c>
      <c r="I5" t="str">
        <f>"0001"</f>
        <v>0001</v>
      </c>
      <c r="J5" t="str">
        <f>"アイシン精機（株）"</f>
        <v>アイシン精機（株）</v>
      </c>
      <c r="K5" t="str">
        <f>"12"</f>
        <v>12</v>
      </c>
      <c r="L5" t="str">
        <f>"半田工場"</f>
        <v>半田工場</v>
      </c>
      <c r="M5" t="str">
        <f t="shared" si="4"/>
        <v>――</v>
      </c>
      <c r="N5" t="str">
        <f t="shared" si="4"/>
        <v>――</v>
      </c>
      <c r="O5" t="str">
        <f t="shared" si="5"/>
        <v>Ｍ</v>
      </c>
      <c r="P5" t="str">
        <f t="shared" si="6"/>
        <v>01</v>
      </c>
      <c r="Q5" t="str">
        <f t="shared" si="7"/>
        <v>第１</v>
      </c>
      <c r="R5" t="str">
        <f t="shared" si="8"/>
        <v>1Y</v>
      </c>
      <c r="S5" t="str">
        <f t="shared" si="9"/>
        <v>安城第１工場</v>
      </c>
      <c r="T5" t="str">
        <f t="shared" si="10"/>
        <v>直接</v>
      </c>
      <c r="U5" t="str">
        <f>""</f>
        <v/>
      </c>
      <c r="V5" t="str">
        <f>""</f>
        <v/>
      </c>
      <c r="W5" t="str">
        <f>""</f>
        <v/>
      </c>
      <c r="X5">
        <v>1</v>
      </c>
      <c r="Y5">
        <v>4</v>
      </c>
      <c r="Z5">
        <v>8.0399999999999991</v>
      </c>
      <c r="AA5">
        <v>1.1200000000000001</v>
      </c>
      <c r="AB5">
        <v>3</v>
      </c>
      <c r="AC5">
        <v>1.1200000000000001</v>
      </c>
      <c r="AD5">
        <v>1.1200000000000001</v>
      </c>
      <c r="AE5">
        <v>1.1000000000000001</v>
      </c>
      <c r="AF5">
        <v>0.5</v>
      </c>
      <c r="AG5" t="str">
        <f>"001"</f>
        <v>001</v>
      </c>
      <c r="AH5" t="str">
        <f>"アイシン精機（株）"</f>
        <v>アイシン精機（株）</v>
      </c>
      <c r="AI5" t="str">
        <f>"003"</f>
        <v>003</v>
      </c>
      <c r="AJ5" t="str">
        <f>"I1-12"</f>
        <v>I1-12</v>
      </c>
      <c r="AK5" t="str">
        <f>"50501"</f>
        <v>50501</v>
      </c>
      <c r="AL5" t="str">
        <f>"0042"</f>
        <v>0042</v>
      </c>
      <c r="AM5" t="s">
        <v>7</v>
      </c>
      <c r="AN5" t="str">
        <f>"019"</f>
        <v>019</v>
      </c>
      <c r="AO5" t="str">
        <f>"TP-342 ｾﾝﾖｳ"</f>
        <v>TP-342 ｾﾝﾖｳ</v>
      </c>
      <c r="AP5">
        <v>6</v>
      </c>
      <c r="AQ5" t="str">
        <f>""</f>
        <v/>
      </c>
      <c r="AR5" t="str">
        <f>""</f>
        <v/>
      </c>
      <c r="AS5" t="str">
        <f>""</f>
        <v/>
      </c>
      <c r="AT5" t="str">
        <f t="shared" si="11"/>
        <v>00</v>
      </c>
      <c r="AU5">
        <v>0.5</v>
      </c>
      <c r="AV5" t="str">
        <f>""</f>
        <v/>
      </c>
      <c r="AW5" t="str">
        <f t="shared" si="16"/>
        <v>08</v>
      </c>
      <c r="AX5" t="str">
        <f t="shared" si="17"/>
        <v>専用</v>
      </c>
      <c r="AY5" t="str">
        <f t="shared" si="18"/>
        <v>01</v>
      </c>
      <c r="AZ5" t="str">
        <f t="shared" si="19"/>
        <v>後補充</v>
      </c>
      <c r="BA5" t="str">
        <f>""</f>
        <v/>
      </c>
      <c r="BB5" t="str">
        <f>"ＴＰ３４２フタアリ"</f>
        <v>ＴＰ３４２フタアリ</v>
      </c>
      <c r="BC5" t="str">
        <f>" 503.000"</f>
        <v xml:space="preserve"> 503.000</v>
      </c>
      <c r="BD5" t="str">
        <f>" 335.000"</f>
        <v xml:space="preserve"> 335.000</v>
      </c>
      <c r="BE5" t="str">
        <f>" 216.000"</f>
        <v xml:space="preserve"> 216.000</v>
      </c>
      <c r="BF5" t="str">
        <f>"   0.036"</f>
        <v xml:space="preserve">   0.036</v>
      </c>
      <c r="BG5" t="str">
        <f>"  10.680"</f>
        <v xml:space="preserve">  10.680</v>
      </c>
      <c r="BH5" t="str">
        <f t="shared" si="12"/>
        <v>しない</v>
      </c>
      <c r="BI5" t="str">
        <f>""</f>
        <v/>
      </c>
      <c r="BJ5" t="str">
        <f t="shared" si="13"/>
        <v>MASTER01</v>
      </c>
      <c r="BK5" t="str">
        <f>"2022/04/25"</f>
        <v>2022/04/25</v>
      </c>
      <c r="BL5" t="str">
        <f t="shared" si="14"/>
        <v>NE00</v>
      </c>
      <c r="BM5" t="str">
        <f t="shared" si="15"/>
        <v>１工工務Ｇ</v>
      </c>
      <c r="BN5" t="str">
        <f>"39091"</f>
        <v>39091</v>
      </c>
      <c r="BO5" t="str">
        <f>"佐竹　良太"</f>
        <v>佐竹　良太</v>
      </c>
    </row>
    <row r="6" spans="1:67">
      <c r="A6" t="s">
        <v>630</v>
      </c>
      <c r="B6" t="str">
        <f>""</f>
        <v/>
      </c>
      <c r="C6" t="str">
        <f>""</f>
        <v/>
      </c>
      <c r="D6" t="s">
        <v>8</v>
      </c>
      <c r="E6" t="str">
        <f t="shared" si="0"/>
        <v>1Y</v>
      </c>
      <c r="F6" t="str">
        <f t="shared" si="1"/>
        <v>第１工場</v>
      </c>
      <c r="G6" t="str">
        <f t="shared" si="2"/>
        <v>手配</v>
      </c>
      <c r="H6" t="str">
        <f t="shared" si="3"/>
        <v>Ｐ</v>
      </c>
      <c r="I6" t="str">
        <f t="shared" ref="I6:I32" si="20">"0024"</f>
        <v>0024</v>
      </c>
      <c r="J6" t="str">
        <f t="shared" ref="J6:J32" si="21">"（株）青山製作所"</f>
        <v>（株）青山製作所</v>
      </c>
      <c r="K6" t="str">
        <f t="shared" ref="K6:K62" si="22">"01"</f>
        <v>01</v>
      </c>
      <c r="L6" t="str">
        <f>""</f>
        <v/>
      </c>
      <c r="M6" t="str">
        <f t="shared" si="4"/>
        <v>――</v>
      </c>
      <c r="N6" t="str">
        <f t="shared" si="4"/>
        <v>――</v>
      </c>
      <c r="O6" t="str">
        <f t="shared" si="5"/>
        <v>Ｍ</v>
      </c>
      <c r="P6" t="str">
        <f t="shared" si="6"/>
        <v>01</v>
      </c>
      <c r="Q6" t="str">
        <f t="shared" si="7"/>
        <v>第１</v>
      </c>
      <c r="R6" t="str">
        <f t="shared" si="8"/>
        <v>1Y</v>
      </c>
      <c r="S6" t="str">
        <f t="shared" si="9"/>
        <v>安城第１工場</v>
      </c>
      <c r="T6" t="str">
        <f t="shared" si="10"/>
        <v>直接</v>
      </c>
      <c r="U6" t="str">
        <f>""</f>
        <v/>
      </c>
      <c r="V6" t="str">
        <f>""</f>
        <v/>
      </c>
      <c r="W6" t="str">
        <f>""</f>
        <v/>
      </c>
      <c r="X6">
        <v>1</v>
      </c>
      <c r="Y6">
        <v>6</v>
      </c>
      <c r="Z6">
        <v>5.76</v>
      </c>
      <c r="AA6">
        <v>0.95</v>
      </c>
      <c r="AB6">
        <v>3</v>
      </c>
      <c r="AC6">
        <v>0.95</v>
      </c>
      <c r="AD6">
        <v>0.95</v>
      </c>
      <c r="AE6">
        <v>1.1000000000000001</v>
      </c>
      <c r="AF6">
        <v>0.5</v>
      </c>
      <c r="AG6" t="str">
        <f t="shared" ref="AG6:AG32" si="23">"006"</f>
        <v>006</v>
      </c>
      <c r="AH6" t="str">
        <f t="shared" ref="AH6:AH32" si="24">"（株）青山製作所"</f>
        <v>（株）青山製作所</v>
      </c>
      <c r="AI6" t="str">
        <f>"027"</f>
        <v>027</v>
      </c>
      <c r="AJ6" t="str">
        <f>"R-3-1"</f>
        <v>R-3-1</v>
      </c>
      <c r="AK6" t="str">
        <f>"10373"</f>
        <v>10373</v>
      </c>
      <c r="AL6" t="str">
        <f>"0521"</f>
        <v>0521</v>
      </c>
      <c r="AM6" t="str">
        <f>"ﾌﾟﾗｸﾞ ｳｲｽﾞﾍﾂﾄﾞｽﾄﾚ-ﾄｽｸﾘﾕ-"</f>
        <v>ﾌﾟﾗｸﾞ ｳｲｽﾞﾍﾂﾄﾞｽﾄﾚ-ﾄｽｸﾘﾕ-</v>
      </c>
      <c r="AN6" t="str">
        <f>"012"</f>
        <v>012</v>
      </c>
      <c r="AO6" t="str">
        <f>"TP-131 ﾊﾝﾖｳ"</f>
        <v>TP-131 ﾊﾝﾖｳ</v>
      </c>
      <c r="AP6">
        <v>200</v>
      </c>
      <c r="AQ6" t="str">
        <f>""</f>
        <v/>
      </c>
      <c r="AR6" t="str">
        <f>""</f>
        <v/>
      </c>
      <c r="AS6" t="str">
        <f>""</f>
        <v/>
      </c>
      <c r="AT6" t="str">
        <f t="shared" si="11"/>
        <v>00</v>
      </c>
      <c r="AU6">
        <v>0.5</v>
      </c>
      <c r="AV6" t="str">
        <f>""</f>
        <v/>
      </c>
      <c r="AW6" t="str">
        <f t="shared" si="16"/>
        <v>08</v>
      </c>
      <c r="AX6" t="str">
        <f t="shared" si="17"/>
        <v>専用</v>
      </c>
      <c r="AY6" t="str">
        <f t="shared" si="18"/>
        <v>01</v>
      </c>
      <c r="AZ6" t="str">
        <f t="shared" si="19"/>
        <v>後補充</v>
      </c>
      <c r="BA6" t="str">
        <f>""</f>
        <v/>
      </c>
      <c r="BB6" t="str">
        <f>"ＴＰ１３１フタナシ"</f>
        <v>ＴＰ１３１フタナシ</v>
      </c>
      <c r="BC6" t="str">
        <f t="shared" ref="BC6:BD39" si="25">" 335.000"</f>
        <v xml:space="preserve"> 335.000</v>
      </c>
      <c r="BD6" t="str">
        <f>" 168.000"</f>
        <v xml:space="preserve"> 168.000</v>
      </c>
      <c r="BE6" t="str">
        <f t="shared" ref="BE6:BE33" si="26">" 103.000"</f>
        <v xml:space="preserve"> 103.000</v>
      </c>
      <c r="BF6" t="str">
        <f>"   0.006"</f>
        <v xml:space="preserve">   0.006</v>
      </c>
      <c r="BG6" t="str">
        <f>"   6.270"</f>
        <v xml:space="preserve">   6.270</v>
      </c>
      <c r="BH6" t="str">
        <f t="shared" si="12"/>
        <v>しない</v>
      </c>
      <c r="BI6" t="str">
        <f>""</f>
        <v/>
      </c>
      <c r="BJ6" t="str">
        <f t="shared" si="13"/>
        <v>MASTER01</v>
      </c>
      <c r="BK6" t="str">
        <f t="shared" ref="BK6:BK18" si="27">"2022/04/19"</f>
        <v>2022/04/19</v>
      </c>
      <c r="BL6" t="str">
        <f t="shared" si="14"/>
        <v>NE00</v>
      </c>
      <c r="BM6" t="str">
        <f t="shared" si="15"/>
        <v>１工工務Ｇ</v>
      </c>
      <c r="BN6" t="str">
        <f t="shared" ref="BN6:BN69" si="28">"46548"</f>
        <v>46548</v>
      </c>
      <c r="BO6" t="str">
        <f t="shared" ref="BO6:BO69" si="29">"長畑　玲奈"</f>
        <v>長畑　玲奈</v>
      </c>
    </row>
    <row r="7" spans="1:67">
      <c r="A7" t="s">
        <v>631</v>
      </c>
      <c r="B7" t="str">
        <f>""</f>
        <v/>
      </c>
      <c r="C7" t="str">
        <f>""</f>
        <v/>
      </c>
      <c r="D7" t="s">
        <v>9</v>
      </c>
      <c r="E7" t="str">
        <f t="shared" si="0"/>
        <v>1Y</v>
      </c>
      <c r="F7" t="str">
        <f t="shared" si="1"/>
        <v>第１工場</v>
      </c>
      <c r="G7" t="str">
        <f t="shared" si="2"/>
        <v>手配</v>
      </c>
      <c r="H7" t="str">
        <f t="shared" si="3"/>
        <v>Ｐ</v>
      </c>
      <c r="I7" t="str">
        <f t="shared" si="20"/>
        <v>0024</v>
      </c>
      <c r="J7" t="str">
        <f t="shared" si="21"/>
        <v>（株）青山製作所</v>
      </c>
      <c r="K7" t="str">
        <f t="shared" si="22"/>
        <v>01</v>
      </c>
      <c r="L7" t="str">
        <f>""</f>
        <v/>
      </c>
      <c r="M7" t="str">
        <f t="shared" si="4"/>
        <v>――</v>
      </c>
      <c r="N7" t="str">
        <f t="shared" si="4"/>
        <v>――</v>
      </c>
      <c r="O7" t="str">
        <f t="shared" si="5"/>
        <v>Ｍ</v>
      </c>
      <c r="P7" t="str">
        <f t="shared" si="6"/>
        <v>01</v>
      </c>
      <c r="Q7" t="str">
        <f t="shared" si="7"/>
        <v>第１</v>
      </c>
      <c r="R7" t="str">
        <f t="shared" si="8"/>
        <v>1Y</v>
      </c>
      <c r="S7" t="str">
        <f t="shared" si="9"/>
        <v>安城第１工場</v>
      </c>
      <c r="T7" t="str">
        <f t="shared" si="10"/>
        <v>直接</v>
      </c>
      <c r="U7" t="str">
        <f>""</f>
        <v/>
      </c>
      <c r="V7" t="str">
        <f>""</f>
        <v/>
      </c>
      <c r="W7" t="str">
        <f>""</f>
        <v/>
      </c>
      <c r="X7">
        <v>1</v>
      </c>
      <c r="Y7">
        <v>6</v>
      </c>
      <c r="Z7">
        <v>5.76</v>
      </c>
      <c r="AA7">
        <v>0.95</v>
      </c>
      <c r="AB7">
        <v>3</v>
      </c>
      <c r="AC7">
        <v>0.95</v>
      </c>
      <c r="AD7">
        <v>0.95</v>
      </c>
      <c r="AE7">
        <v>1.1000000000000001</v>
      </c>
      <c r="AF7">
        <v>0.5</v>
      </c>
      <c r="AG7" t="str">
        <f t="shared" si="23"/>
        <v>006</v>
      </c>
      <c r="AH7" t="str">
        <f t="shared" si="24"/>
        <v>（株）青山製作所</v>
      </c>
      <c r="AI7" t="str">
        <f>"003"</f>
        <v>003</v>
      </c>
      <c r="AJ7" t="str">
        <f>"I1-11"</f>
        <v>I1-11</v>
      </c>
      <c r="AK7" t="str">
        <f>"20369"</f>
        <v>20369</v>
      </c>
      <c r="AL7" t="str">
        <f>"1836"</f>
        <v>1836</v>
      </c>
      <c r="AM7" t="str">
        <f>"ﾎﾞﾙﾄﾌﾗﾝｼﾞ"</f>
        <v>ﾎﾞﾙﾄﾌﾗﾝｼﾞ</v>
      </c>
      <c r="AN7" t="str">
        <f t="shared" ref="AN7:AN23" si="30">"014"</f>
        <v>014</v>
      </c>
      <c r="AO7" t="str">
        <f t="shared" ref="AO7:AO23" si="31">"TP-331 ﾊﾝﾖｳ"</f>
        <v>TP-331 ﾊﾝﾖｳ</v>
      </c>
      <c r="AP7">
        <v>500</v>
      </c>
      <c r="AQ7" t="str">
        <f>""</f>
        <v/>
      </c>
      <c r="AR7" t="str">
        <f>""</f>
        <v/>
      </c>
      <c r="AS7" t="str">
        <f>""</f>
        <v/>
      </c>
      <c r="AT7" t="str">
        <f t="shared" si="11"/>
        <v>00</v>
      </c>
      <c r="AU7">
        <v>0.5</v>
      </c>
      <c r="AV7" t="str">
        <f>""</f>
        <v/>
      </c>
      <c r="AW7" t="str">
        <f t="shared" si="16"/>
        <v>08</v>
      </c>
      <c r="AX7" t="str">
        <f t="shared" si="17"/>
        <v>専用</v>
      </c>
      <c r="AY7" t="str">
        <f t="shared" si="18"/>
        <v>01</v>
      </c>
      <c r="AZ7" t="str">
        <f t="shared" si="19"/>
        <v>後補充</v>
      </c>
      <c r="BA7" t="str">
        <f>""</f>
        <v/>
      </c>
      <c r="BB7" t="str">
        <f t="shared" ref="BB7:BB23" si="32">"ＴＰ３３１フタナシ"</f>
        <v>ＴＰ３３１フタナシ</v>
      </c>
      <c r="BC7" t="str">
        <f t="shared" si="25"/>
        <v xml:space="preserve"> 335.000</v>
      </c>
      <c r="BD7" t="str">
        <f t="shared" si="25"/>
        <v xml:space="preserve"> 335.000</v>
      </c>
      <c r="BE7" t="str">
        <f t="shared" si="26"/>
        <v xml:space="preserve"> 103.000</v>
      </c>
      <c r="BF7" t="str">
        <f t="shared" ref="BF7:BF23" si="33">"   0.012"</f>
        <v xml:space="preserve">   0.012</v>
      </c>
      <c r="BG7" t="str">
        <f>"   9.380"</f>
        <v xml:space="preserve">   9.380</v>
      </c>
      <c r="BH7" t="str">
        <f t="shared" si="12"/>
        <v>しない</v>
      </c>
      <c r="BI7" t="str">
        <f>""</f>
        <v/>
      </c>
      <c r="BJ7" t="str">
        <f t="shared" si="13"/>
        <v>MASTER01</v>
      </c>
      <c r="BK7" t="str">
        <f t="shared" si="27"/>
        <v>2022/04/19</v>
      </c>
      <c r="BL7" t="str">
        <f t="shared" si="14"/>
        <v>NE00</v>
      </c>
      <c r="BM7" t="str">
        <f t="shared" si="15"/>
        <v>１工工務Ｇ</v>
      </c>
      <c r="BN7" t="str">
        <f t="shared" si="28"/>
        <v>46548</v>
      </c>
      <c r="BO7" t="str">
        <f t="shared" si="29"/>
        <v>長畑　玲奈</v>
      </c>
    </row>
    <row r="8" spans="1:67">
      <c r="A8" t="s">
        <v>632</v>
      </c>
      <c r="B8" t="str">
        <f>""</f>
        <v/>
      </c>
      <c r="C8" t="str">
        <f>""</f>
        <v/>
      </c>
      <c r="D8" t="s">
        <v>8</v>
      </c>
      <c r="E8" t="str">
        <f t="shared" si="0"/>
        <v>1Y</v>
      </c>
      <c r="F8" t="str">
        <f t="shared" si="1"/>
        <v>第１工場</v>
      </c>
      <c r="G8" t="str">
        <f t="shared" si="2"/>
        <v>手配</v>
      </c>
      <c r="H8" t="str">
        <f t="shared" si="3"/>
        <v>Ｐ</v>
      </c>
      <c r="I8" t="str">
        <f t="shared" si="20"/>
        <v>0024</v>
      </c>
      <c r="J8" t="str">
        <f t="shared" si="21"/>
        <v>（株）青山製作所</v>
      </c>
      <c r="K8" t="str">
        <f t="shared" si="22"/>
        <v>01</v>
      </c>
      <c r="L8" t="str">
        <f>""</f>
        <v/>
      </c>
      <c r="M8" t="str">
        <f t="shared" si="4"/>
        <v>――</v>
      </c>
      <c r="N8" t="str">
        <f t="shared" si="4"/>
        <v>――</v>
      </c>
      <c r="O8" t="str">
        <f t="shared" si="5"/>
        <v>Ｍ</v>
      </c>
      <c r="P8" t="str">
        <f t="shared" si="6"/>
        <v>01</v>
      </c>
      <c r="Q8" t="str">
        <f t="shared" si="7"/>
        <v>第１</v>
      </c>
      <c r="R8" t="str">
        <f t="shared" si="8"/>
        <v>1Y</v>
      </c>
      <c r="S8" t="str">
        <f t="shared" si="9"/>
        <v>安城第１工場</v>
      </c>
      <c r="T8" t="str">
        <f t="shared" si="10"/>
        <v>直接</v>
      </c>
      <c r="U8" t="str">
        <f>""</f>
        <v/>
      </c>
      <c r="V8" t="str">
        <f>""</f>
        <v/>
      </c>
      <c r="W8" t="str">
        <f>""</f>
        <v/>
      </c>
      <c r="X8">
        <v>1</v>
      </c>
      <c r="Y8">
        <v>6</v>
      </c>
      <c r="Z8">
        <v>5.76</v>
      </c>
      <c r="AA8">
        <v>0.95</v>
      </c>
      <c r="AB8">
        <v>3</v>
      </c>
      <c r="AC8">
        <v>0.95</v>
      </c>
      <c r="AD8">
        <v>0.95</v>
      </c>
      <c r="AE8">
        <v>1.1000000000000001</v>
      </c>
      <c r="AF8">
        <v>0.5</v>
      </c>
      <c r="AG8" t="str">
        <f t="shared" si="23"/>
        <v>006</v>
      </c>
      <c r="AH8" t="str">
        <f t="shared" si="24"/>
        <v>（株）青山製作所</v>
      </c>
      <c r="AI8" t="str">
        <f>"004"</f>
        <v>004</v>
      </c>
      <c r="AJ8" t="str">
        <f>"R-6-1"</f>
        <v>R-6-1</v>
      </c>
      <c r="AK8" t="str">
        <f>"20379"</f>
        <v>20379</v>
      </c>
      <c r="AL8" t="str">
        <f>"0521"</f>
        <v>0521</v>
      </c>
      <c r="AM8" t="str">
        <f>"ﾌﾟﾗｸﾞｳｲｽﾞﾍﾂﾄﾞｽﾄﾚ-ﾄｽｸﾘﾕ-"</f>
        <v>ﾌﾟﾗｸﾞｳｲｽﾞﾍﾂﾄﾞｽﾄﾚ-ﾄｽｸﾘﾕ-</v>
      </c>
      <c r="AN8" t="str">
        <f t="shared" si="30"/>
        <v>014</v>
      </c>
      <c r="AO8" t="str">
        <f t="shared" si="31"/>
        <v>TP-331 ﾊﾝﾖｳ</v>
      </c>
      <c r="AP8">
        <v>500</v>
      </c>
      <c r="AQ8" t="str">
        <f>""</f>
        <v/>
      </c>
      <c r="AR8" t="str">
        <f>""</f>
        <v/>
      </c>
      <c r="AS8" t="str">
        <f>""</f>
        <v/>
      </c>
      <c r="AT8" t="str">
        <f t="shared" si="11"/>
        <v>00</v>
      </c>
      <c r="AU8">
        <v>0.5</v>
      </c>
      <c r="AV8" t="str">
        <f>""</f>
        <v/>
      </c>
      <c r="AW8" t="str">
        <f t="shared" si="16"/>
        <v>08</v>
      </c>
      <c r="AX8" t="str">
        <f t="shared" si="17"/>
        <v>専用</v>
      </c>
      <c r="AY8" t="str">
        <f t="shared" si="18"/>
        <v>01</v>
      </c>
      <c r="AZ8" t="str">
        <f t="shared" si="19"/>
        <v>後補充</v>
      </c>
      <c r="BA8" t="str">
        <f>""</f>
        <v/>
      </c>
      <c r="BB8" t="str">
        <f t="shared" si="32"/>
        <v>ＴＰ３３１フタナシ</v>
      </c>
      <c r="BC8" t="str">
        <f t="shared" si="25"/>
        <v xml:space="preserve"> 335.000</v>
      </c>
      <c r="BD8" t="str">
        <f t="shared" si="25"/>
        <v xml:space="preserve"> 335.000</v>
      </c>
      <c r="BE8" t="str">
        <f t="shared" si="26"/>
        <v xml:space="preserve"> 103.000</v>
      </c>
      <c r="BF8" t="str">
        <f t="shared" si="33"/>
        <v xml:space="preserve">   0.012</v>
      </c>
      <c r="BG8" t="str">
        <f>"  11.970"</f>
        <v xml:space="preserve">  11.970</v>
      </c>
      <c r="BH8" t="str">
        <f t="shared" si="12"/>
        <v>しない</v>
      </c>
      <c r="BI8" t="str">
        <f>""</f>
        <v/>
      </c>
      <c r="BJ8" t="str">
        <f t="shared" si="13"/>
        <v>MASTER01</v>
      </c>
      <c r="BK8" t="str">
        <f t="shared" si="27"/>
        <v>2022/04/19</v>
      </c>
      <c r="BL8" t="str">
        <f t="shared" si="14"/>
        <v>NE00</v>
      </c>
      <c r="BM8" t="str">
        <f t="shared" si="15"/>
        <v>１工工務Ｇ</v>
      </c>
      <c r="BN8" t="str">
        <f t="shared" si="28"/>
        <v>46548</v>
      </c>
      <c r="BO8" t="str">
        <f t="shared" si="29"/>
        <v>長畑　玲奈</v>
      </c>
    </row>
    <row r="9" spans="1:67">
      <c r="A9" t="s">
        <v>119</v>
      </c>
      <c r="B9" t="str">
        <f>""</f>
        <v/>
      </c>
      <c r="C9" t="str">
        <f>""</f>
        <v/>
      </c>
      <c r="D9" t="s">
        <v>9</v>
      </c>
      <c r="E9" t="str">
        <f t="shared" si="0"/>
        <v>1Y</v>
      </c>
      <c r="F9" t="str">
        <f t="shared" si="1"/>
        <v>第１工場</v>
      </c>
      <c r="G9" t="str">
        <f t="shared" si="2"/>
        <v>手配</v>
      </c>
      <c r="H9" t="str">
        <f t="shared" si="3"/>
        <v>Ｐ</v>
      </c>
      <c r="I9" t="str">
        <f t="shared" si="20"/>
        <v>0024</v>
      </c>
      <c r="J9" t="str">
        <f t="shared" si="21"/>
        <v>（株）青山製作所</v>
      </c>
      <c r="K9" t="str">
        <f t="shared" si="22"/>
        <v>01</v>
      </c>
      <c r="L9" t="str">
        <f>""</f>
        <v/>
      </c>
      <c r="M9" t="str">
        <f t="shared" si="4"/>
        <v>――</v>
      </c>
      <c r="N9" t="str">
        <f t="shared" si="4"/>
        <v>――</v>
      </c>
      <c r="O9" t="str">
        <f t="shared" si="5"/>
        <v>Ｍ</v>
      </c>
      <c r="P9" t="str">
        <f t="shared" si="6"/>
        <v>01</v>
      </c>
      <c r="Q9" t="str">
        <f t="shared" si="7"/>
        <v>第１</v>
      </c>
      <c r="R9" t="str">
        <f t="shared" si="8"/>
        <v>1Y</v>
      </c>
      <c r="S9" t="str">
        <f t="shared" si="9"/>
        <v>安城第１工場</v>
      </c>
      <c r="T9" t="str">
        <f t="shared" si="10"/>
        <v>直接</v>
      </c>
      <c r="U9" t="str">
        <f>""</f>
        <v/>
      </c>
      <c r="V9" t="str">
        <f>""</f>
        <v/>
      </c>
      <c r="W9" t="str">
        <f>""</f>
        <v/>
      </c>
      <c r="X9">
        <v>1</v>
      </c>
      <c r="Y9">
        <v>6</v>
      </c>
      <c r="Z9">
        <v>5.76</v>
      </c>
      <c r="AA9">
        <v>0.95</v>
      </c>
      <c r="AB9">
        <v>3</v>
      </c>
      <c r="AC9">
        <v>0.95</v>
      </c>
      <c r="AD9">
        <v>0.95</v>
      </c>
      <c r="AE9">
        <v>1.1000000000000001</v>
      </c>
      <c r="AF9">
        <v>0.5</v>
      </c>
      <c r="AG9" t="str">
        <f t="shared" si="23"/>
        <v>006</v>
      </c>
      <c r="AH9" t="str">
        <f t="shared" si="24"/>
        <v>（株）青山製作所</v>
      </c>
      <c r="AI9" t="str">
        <f>"005"</f>
        <v>005</v>
      </c>
      <c r="AJ9" t="str">
        <f>"M-MG-2"</f>
        <v>M-MG-2</v>
      </c>
      <c r="AK9" t="str">
        <f>"20366"</f>
        <v>20366</v>
      </c>
      <c r="AL9" t="str">
        <f>"1836"</f>
        <v>1836</v>
      </c>
      <c r="AM9" t="str">
        <f>"ﾎﾞﾙﾄﾌﾗﾝｼﾞ"</f>
        <v>ﾎﾞﾙﾄﾌﾗﾝｼﾞ</v>
      </c>
      <c r="AN9" t="str">
        <f t="shared" si="30"/>
        <v>014</v>
      </c>
      <c r="AO9" t="str">
        <f t="shared" si="31"/>
        <v>TP-331 ﾊﾝﾖｳ</v>
      </c>
      <c r="AP9">
        <v>2000</v>
      </c>
      <c r="AQ9" t="str">
        <f>""</f>
        <v/>
      </c>
      <c r="AR9" t="str">
        <f>""</f>
        <v/>
      </c>
      <c r="AS9" t="str">
        <f>""</f>
        <v/>
      </c>
      <c r="AT9" t="str">
        <f t="shared" si="11"/>
        <v>00</v>
      </c>
      <c r="AU9">
        <v>0.5</v>
      </c>
      <c r="AV9" t="str">
        <f>""</f>
        <v/>
      </c>
      <c r="AW9" t="str">
        <f t="shared" si="16"/>
        <v>08</v>
      </c>
      <c r="AX9" t="str">
        <f t="shared" si="17"/>
        <v>専用</v>
      </c>
      <c r="AY9" t="str">
        <f t="shared" si="18"/>
        <v>01</v>
      </c>
      <c r="AZ9" t="str">
        <f t="shared" si="19"/>
        <v>後補充</v>
      </c>
      <c r="BA9" t="str">
        <f>""</f>
        <v/>
      </c>
      <c r="BB9" t="str">
        <f t="shared" si="32"/>
        <v>ＴＰ３３１フタナシ</v>
      </c>
      <c r="BC9" t="str">
        <f t="shared" si="25"/>
        <v xml:space="preserve"> 335.000</v>
      </c>
      <c r="BD9" t="str">
        <f t="shared" si="25"/>
        <v xml:space="preserve"> 335.000</v>
      </c>
      <c r="BE9" t="str">
        <f t="shared" si="26"/>
        <v xml:space="preserve"> 103.000</v>
      </c>
      <c r="BF9" t="str">
        <f t="shared" si="33"/>
        <v xml:space="preserve">   0.012</v>
      </c>
      <c r="BG9" t="str">
        <f>"  12.630"</f>
        <v xml:space="preserve">  12.630</v>
      </c>
      <c r="BH9" t="str">
        <f t="shared" si="12"/>
        <v>しない</v>
      </c>
      <c r="BI9" t="str">
        <f>""</f>
        <v/>
      </c>
      <c r="BJ9" t="str">
        <f t="shared" si="13"/>
        <v>MASTER01</v>
      </c>
      <c r="BK9" t="str">
        <f t="shared" si="27"/>
        <v>2022/04/19</v>
      </c>
      <c r="BL9" t="str">
        <f t="shared" si="14"/>
        <v>NE00</v>
      </c>
      <c r="BM9" t="str">
        <f t="shared" si="15"/>
        <v>１工工務Ｇ</v>
      </c>
      <c r="BN9" t="str">
        <f t="shared" si="28"/>
        <v>46548</v>
      </c>
      <c r="BO9" t="str">
        <f t="shared" si="29"/>
        <v>長畑　玲奈</v>
      </c>
    </row>
    <row r="10" spans="1:67">
      <c r="A10" t="s">
        <v>120</v>
      </c>
      <c r="B10" t="str">
        <f>""</f>
        <v/>
      </c>
      <c r="C10" t="str">
        <f>""</f>
        <v/>
      </c>
      <c r="D10" t="s">
        <v>9</v>
      </c>
      <c r="E10" t="str">
        <f t="shared" si="0"/>
        <v>1Y</v>
      </c>
      <c r="F10" t="str">
        <f t="shared" si="1"/>
        <v>第１工場</v>
      </c>
      <c r="G10" t="str">
        <f t="shared" si="2"/>
        <v>手配</v>
      </c>
      <c r="H10" t="str">
        <f t="shared" si="3"/>
        <v>Ｐ</v>
      </c>
      <c r="I10" t="str">
        <f t="shared" si="20"/>
        <v>0024</v>
      </c>
      <c r="J10" t="str">
        <f t="shared" si="21"/>
        <v>（株）青山製作所</v>
      </c>
      <c r="K10" t="str">
        <f t="shared" si="22"/>
        <v>01</v>
      </c>
      <c r="L10" t="str">
        <f>""</f>
        <v/>
      </c>
      <c r="M10" t="str">
        <f t="shared" si="4"/>
        <v>――</v>
      </c>
      <c r="N10" t="str">
        <f t="shared" si="4"/>
        <v>――</v>
      </c>
      <c r="O10" t="str">
        <f t="shared" si="5"/>
        <v>Ｍ</v>
      </c>
      <c r="P10" t="str">
        <f t="shared" si="6"/>
        <v>01</v>
      </c>
      <c r="Q10" t="str">
        <f t="shared" si="7"/>
        <v>第１</v>
      </c>
      <c r="R10" t="str">
        <f t="shared" si="8"/>
        <v>1Y</v>
      </c>
      <c r="S10" t="str">
        <f t="shared" si="9"/>
        <v>安城第１工場</v>
      </c>
      <c r="T10" t="str">
        <f t="shared" si="10"/>
        <v>直接</v>
      </c>
      <c r="U10" t="str">
        <f>""</f>
        <v/>
      </c>
      <c r="V10" t="str">
        <f>""</f>
        <v/>
      </c>
      <c r="W10" t="str">
        <f>""</f>
        <v/>
      </c>
      <c r="X10">
        <v>1</v>
      </c>
      <c r="Y10">
        <v>6</v>
      </c>
      <c r="Z10">
        <v>5.76</v>
      </c>
      <c r="AA10">
        <v>0.95</v>
      </c>
      <c r="AB10">
        <v>3</v>
      </c>
      <c r="AC10">
        <v>0.95</v>
      </c>
      <c r="AD10">
        <v>0.95</v>
      </c>
      <c r="AE10">
        <v>1.1000000000000001</v>
      </c>
      <c r="AF10">
        <v>0.5</v>
      </c>
      <c r="AG10" t="str">
        <f t="shared" si="23"/>
        <v>006</v>
      </c>
      <c r="AH10" t="str">
        <f t="shared" si="24"/>
        <v>（株）青山製作所</v>
      </c>
      <c r="AI10" t="str">
        <f>"006"</f>
        <v>006</v>
      </c>
      <c r="AJ10" t="str">
        <f>"M-MG-6"</f>
        <v>M-MG-6</v>
      </c>
      <c r="AK10" t="str">
        <f>"20387"</f>
        <v>20387</v>
      </c>
      <c r="AL10" t="str">
        <f>"1836"</f>
        <v>1836</v>
      </c>
      <c r="AM10" t="str">
        <f>"ﾎﾞﾙﾄﾌﾗﾝｼﾞ"</f>
        <v>ﾎﾞﾙﾄﾌﾗﾝｼﾞ</v>
      </c>
      <c r="AN10" t="str">
        <f t="shared" si="30"/>
        <v>014</v>
      </c>
      <c r="AO10" t="str">
        <f t="shared" si="31"/>
        <v>TP-331 ﾊﾝﾖｳ</v>
      </c>
      <c r="AP10">
        <v>1500</v>
      </c>
      <c r="AQ10" t="str">
        <f>""</f>
        <v/>
      </c>
      <c r="AR10" t="str">
        <f>""</f>
        <v/>
      </c>
      <c r="AS10" t="str">
        <f>""</f>
        <v/>
      </c>
      <c r="AT10" t="str">
        <f t="shared" si="11"/>
        <v>00</v>
      </c>
      <c r="AU10">
        <v>0.5</v>
      </c>
      <c r="AV10" t="str">
        <f>""</f>
        <v/>
      </c>
      <c r="AW10" t="str">
        <f t="shared" si="16"/>
        <v>08</v>
      </c>
      <c r="AX10" t="str">
        <f t="shared" si="17"/>
        <v>専用</v>
      </c>
      <c r="AY10" t="str">
        <f t="shared" si="18"/>
        <v>01</v>
      </c>
      <c r="AZ10" t="str">
        <f t="shared" si="19"/>
        <v>後補充</v>
      </c>
      <c r="BA10" t="str">
        <f>""</f>
        <v/>
      </c>
      <c r="BB10" t="str">
        <f t="shared" si="32"/>
        <v>ＴＰ３３１フタナシ</v>
      </c>
      <c r="BC10" t="str">
        <f t="shared" si="25"/>
        <v xml:space="preserve"> 335.000</v>
      </c>
      <c r="BD10" t="str">
        <f t="shared" si="25"/>
        <v xml:space="preserve"> 335.000</v>
      </c>
      <c r="BE10" t="str">
        <f t="shared" si="26"/>
        <v xml:space="preserve"> 103.000</v>
      </c>
      <c r="BF10" t="str">
        <f t="shared" si="33"/>
        <v xml:space="preserve">   0.012</v>
      </c>
      <c r="BG10" t="str">
        <f>"  10.130"</f>
        <v xml:space="preserve">  10.130</v>
      </c>
      <c r="BH10" t="str">
        <f t="shared" si="12"/>
        <v>しない</v>
      </c>
      <c r="BI10" t="str">
        <f>""</f>
        <v/>
      </c>
      <c r="BJ10" t="str">
        <f t="shared" si="13"/>
        <v>MASTER01</v>
      </c>
      <c r="BK10" t="str">
        <f t="shared" si="27"/>
        <v>2022/04/19</v>
      </c>
      <c r="BL10" t="str">
        <f t="shared" si="14"/>
        <v>NE00</v>
      </c>
      <c r="BM10" t="str">
        <f t="shared" si="15"/>
        <v>１工工務Ｇ</v>
      </c>
      <c r="BN10" t="str">
        <f t="shared" si="28"/>
        <v>46548</v>
      </c>
      <c r="BO10" t="str">
        <f t="shared" si="29"/>
        <v>長畑　玲奈</v>
      </c>
    </row>
    <row r="11" spans="1:67">
      <c r="A11" t="s">
        <v>694</v>
      </c>
      <c r="B11" t="str">
        <f>""</f>
        <v/>
      </c>
      <c r="C11" t="str">
        <f>""</f>
        <v/>
      </c>
      <c r="D11" t="s">
        <v>9</v>
      </c>
      <c r="E11" t="str">
        <f t="shared" si="0"/>
        <v>1Y</v>
      </c>
      <c r="F11" t="str">
        <f t="shared" si="1"/>
        <v>第１工場</v>
      </c>
      <c r="G11" t="str">
        <f t="shared" si="2"/>
        <v>手配</v>
      </c>
      <c r="H11" t="str">
        <f t="shared" si="3"/>
        <v>Ｐ</v>
      </c>
      <c r="I11" t="str">
        <f t="shared" si="20"/>
        <v>0024</v>
      </c>
      <c r="J11" t="str">
        <f t="shared" si="21"/>
        <v>（株）青山製作所</v>
      </c>
      <c r="K11" t="str">
        <f t="shared" si="22"/>
        <v>01</v>
      </c>
      <c r="L11" t="str">
        <f>""</f>
        <v/>
      </c>
      <c r="M11" t="str">
        <f t="shared" si="4"/>
        <v>――</v>
      </c>
      <c r="N11" t="str">
        <f t="shared" si="4"/>
        <v>――</v>
      </c>
      <c r="O11" t="str">
        <f t="shared" si="5"/>
        <v>Ｍ</v>
      </c>
      <c r="P11" t="str">
        <f t="shared" si="6"/>
        <v>01</v>
      </c>
      <c r="Q11" t="str">
        <f t="shared" si="7"/>
        <v>第１</v>
      </c>
      <c r="R11" t="str">
        <f t="shared" si="8"/>
        <v>1Y</v>
      </c>
      <c r="S11" t="str">
        <f t="shared" si="9"/>
        <v>安城第１工場</v>
      </c>
      <c r="T11" t="str">
        <f t="shared" si="10"/>
        <v>直接</v>
      </c>
      <c r="U11" t="str">
        <f>""</f>
        <v/>
      </c>
      <c r="V11" t="str">
        <f>""</f>
        <v/>
      </c>
      <c r="W11" t="str">
        <f>""</f>
        <v/>
      </c>
      <c r="X11">
        <v>1</v>
      </c>
      <c r="Y11">
        <v>6</v>
      </c>
      <c r="Z11">
        <v>5.76</v>
      </c>
      <c r="AA11">
        <v>0.95</v>
      </c>
      <c r="AB11">
        <v>3</v>
      </c>
      <c r="AC11">
        <v>0.95</v>
      </c>
      <c r="AD11">
        <v>0.95</v>
      </c>
      <c r="AE11">
        <v>1.1000000000000001</v>
      </c>
      <c r="AF11">
        <v>0.5</v>
      </c>
      <c r="AG11" t="str">
        <f t="shared" si="23"/>
        <v>006</v>
      </c>
      <c r="AH11" t="str">
        <f t="shared" si="24"/>
        <v>（株）青山製作所</v>
      </c>
      <c r="AI11" t="str">
        <f>"007"</f>
        <v>007</v>
      </c>
      <c r="AJ11" t="str">
        <f>"M-4"</f>
        <v>M-4</v>
      </c>
      <c r="AK11" t="str">
        <f>"20380"</f>
        <v>20380</v>
      </c>
      <c r="AL11" t="str">
        <f>"1836"</f>
        <v>1836</v>
      </c>
      <c r="AM11" t="str">
        <f>"ﾎﾞﾙﾄﾌﾗﾝｼﾞ"</f>
        <v>ﾎﾞﾙﾄﾌﾗﾝｼﾞ</v>
      </c>
      <c r="AN11" t="str">
        <f t="shared" si="30"/>
        <v>014</v>
      </c>
      <c r="AO11" t="str">
        <f t="shared" si="31"/>
        <v>TP-331 ﾊﾝﾖｳ</v>
      </c>
      <c r="AP11">
        <v>500</v>
      </c>
      <c r="AQ11" t="str">
        <f>""</f>
        <v/>
      </c>
      <c r="AR11" t="str">
        <f>""</f>
        <v/>
      </c>
      <c r="AS11" t="str">
        <f>""</f>
        <v/>
      </c>
      <c r="AT11" t="str">
        <f t="shared" si="11"/>
        <v>00</v>
      </c>
      <c r="AU11">
        <v>0.5</v>
      </c>
      <c r="AV11" t="str">
        <f>""</f>
        <v/>
      </c>
      <c r="AW11" t="str">
        <f t="shared" si="16"/>
        <v>08</v>
      </c>
      <c r="AX11" t="str">
        <f t="shared" si="17"/>
        <v>専用</v>
      </c>
      <c r="AY11" t="str">
        <f t="shared" si="18"/>
        <v>01</v>
      </c>
      <c r="AZ11" t="str">
        <f t="shared" si="19"/>
        <v>後補充</v>
      </c>
      <c r="BA11" t="str">
        <f>""</f>
        <v/>
      </c>
      <c r="BB11" t="str">
        <f t="shared" si="32"/>
        <v>ＴＰ３３１フタナシ</v>
      </c>
      <c r="BC11" t="str">
        <f t="shared" si="25"/>
        <v xml:space="preserve"> 335.000</v>
      </c>
      <c r="BD11" t="str">
        <f t="shared" si="25"/>
        <v xml:space="preserve"> 335.000</v>
      </c>
      <c r="BE11" t="str">
        <f t="shared" si="26"/>
        <v xml:space="preserve"> 103.000</v>
      </c>
      <c r="BF11" t="str">
        <f t="shared" si="33"/>
        <v xml:space="preserve">   0.012</v>
      </c>
      <c r="BG11" t="str">
        <f>"   8.830"</f>
        <v xml:space="preserve">   8.830</v>
      </c>
      <c r="BH11" t="str">
        <f t="shared" si="12"/>
        <v>しない</v>
      </c>
      <c r="BI11" t="str">
        <f>""</f>
        <v/>
      </c>
      <c r="BJ11" t="str">
        <f t="shared" si="13"/>
        <v>MASTER01</v>
      </c>
      <c r="BK11" t="str">
        <f t="shared" si="27"/>
        <v>2022/04/19</v>
      </c>
      <c r="BL11" t="str">
        <f t="shared" si="14"/>
        <v>NE00</v>
      </c>
      <c r="BM11" t="str">
        <f t="shared" si="15"/>
        <v>１工工務Ｇ</v>
      </c>
      <c r="BN11" t="str">
        <f t="shared" si="28"/>
        <v>46548</v>
      </c>
      <c r="BO11" t="str">
        <f t="shared" si="29"/>
        <v>長畑　玲奈</v>
      </c>
    </row>
    <row r="12" spans="1:67">
      <c r="A12" t="s">
        <v>121</v>
      </c>
      <c r="B12" t="str">
        <f>""</f>
        <v/>
      </c>
      <c r="C12" t="str">
        <f>""</f>
        <v/>
      </c>
      <c r="D12" t="s">
        <v>9</v>
      </c>
      <c r="E12" t="str">
        <f t="shared" si="0"/>
        <v>1Y</v>
      </c>
      <c r="F12" t="str">
        <f t="shared" si="1"/>
        <v>第１工場</v>
      </c>
      <c r="G12" t="str">
        <f t="shared" si="2"/>
        <v>手配</v>
      </c>
      <c r="H12" t="str">
        <f t="shared" si="3"/>
        <v>Ｐ</v>
      </c>
      <c r="I12" t="str">
        <f t="shared" si="20"/>
        <v>0024</v>
      </c>
      <c r="J12" t="str">
        <f t="shared" si="21"/>
        <v>（株）青山製作所</v>
      </c>
      <c r="K12" t="str">
        <f t="shared" si="22"/>
        <v>01</v>
      </c>
      <c r="L12" t="str">
        <f>""</f>
        <v/>
      </c>
      <c r="M12" t="str">
        <f t="shared" si="4"/>
        <v>――</v>
      </c>
      <c r="N12" t="str">
        <f t="shared" si="4"/>
        <v>――</v>
      </c>
      <c r="O12" t="str">
        <f t="shared" si="5"/>
        <v>Ｍ</v>
      </c>
      <c r="P12" t="str">
        <f t="shared" si="6"/>
        <v>01</v>
      </c>
      <c r="Q12" t="str">
        <f t="shared" si="7"/>
        <v>第１</v>
      </c>
      <c r="R12" t="str">
        <f t="shared" si="8"/>
        <v>1Y</v>
      </c>
      <c r="S12" t="str">
        <f t="shared" si="9"/>
        <v>安城第１工場</v>
      </c>
      <c r="T12" t="str">
        <f t="shared" si="10"/>
        <v>直接</v>
      </c>
      <c r="U12" t="str">
        <f>""</f>
        <v/>
      </c>
      <c r="V12" t="str">
        <f>""</f>
        <v/>
      </c>
      <c r="W12" t="str">
        <f>""</f>
        <v/>
      </c>
      <c r="X12">
        <v>1</v>
      </c>
      <c r="Y12">
        <v>6</v>
      </c>
      <c r="Z12">
        <v>5.76</v>
      </c>
      <c r="AA12">
        <v>0.95</v>
      </c>
      <c r="AB12">
        <v>3</v>
      </c>
      <c r="AC12">
        <v>0.95</v>
      </c>
      <c r="AD12">
        <v>0.95</v>
      </c>
      <c r="AE12">
        <v>1.1000000000000001</v>
      </c>
      <c r="AF12">
        <v>0.5</v>
      </c>
      <c r="AG12" t="str">
        <f t="shared" si="23"/>
        <v>006</v>
      </c>
      <c r="AH12" t="str">
        <f t="shared" si="24"/>
        <v>（株）青山製作所</v>
      </c>
      <c r="AI12" t="str">
        <f>"008"</f>
        <v>008</v>
      </c>
      <c r="AJ12" t="str">
        <f>"M-6"</f>
        <v>M-6</v>
      </c>
      <c r="AK12" t="str">
        <f>"20368"</f>
        <v>20368</v>
      </c>
      <c r="AL12" t="str">
        <f>"1836"</f>
        <v>1836</v>
      </c>
      <c r="AM12" t="str">
        <f>"ﾎﾞﾙﾄﾌﾗﾝｼﾞ"</f>
        <v>ﾎﾞﾙﾄﾌﾗﾝｼﾞ</v>
      </c>
      <c r="AN12" t="str">
        <f t="shared" si="30"/>
        <v>014</v>
      </c>
      <c r="AO12" t="str">
        <f t="shared" si="31"/>
        <v>TP-331 ﾊﾝﾖｳ</v>
      </c>
      <c r="AP12">
        <v>300</v>
      </c>
      <c r="AQ12" t="str">
        <f>""</f>
        <v/>
      </c>
      <c r="AR12" t="str">
        <f>""</f>
        <v/>
      </c>
      <c r="AS12" t="str">
        <f>""</f>
        <v/>
      </c>
      <c r="AT12" t="str">
        <f t="shared" si="11"/>
        <v>00</v>
      </c>
      <c r="AU12">
        <v>0.5</v>
      </c>
      <c r="AV12" t="str">
        <f>""</f>
        <v/>
      </c>
      <c r="AW12" t="str">
        <f t="shared" si="16"/>
        <v>08</v>
      </c>
      <c r="AX12" t="str">
        <f t="shared" si="17"/>
        <v>専用</v>
      </c>
      <c r="AY12" t="str">
        <f t="shared" si="18"/>
        <v>01</v>
      </c>
      <c r="AZ12" t="str">
        <f t="shared" si="19"/>
        <v>後補充</v>
      </c>
      <c r="BA12" t="str">
        <f>""</f>
        <v/>
      </c>
      <c r="BB12" t="str">
        <f t="shared" si="32"/>
        <v>ＴＰ３３１フタナシ</v>
      </c>
      <c r="BC12" t="str">
        <f t="shared" si="25"/>
        <v xml:space="preserve"> 335.000</v>
      </c>
      <c r="BD12" t="str">
        <f t="shared" si="25"/>
        <v xml:space="preserve"> 335.000</v>
      </c>
      <c r="BE12" t="str">
        <f t="shared" si="26"/>
        <v xml:space="preserve"> 103.000</v>
      </c>
      <c r="BF12" t="str">
        <f t="shared" si="33"/>
        <v xml:space="preserve">   0.012</v>
      </c>
      <c r="BG12" t="str">
        <f>"  10.220"</f>
        <v xml:space="preserve">  10.220</v>
      </c>
      <c r="BH12" t="str">
        <f t="shared" si="12"/>
        <v>しない</v>
      </c>
      <c r="BI12" t="str">
        <f>""</f>
        <v/>
      </c>
      <c r="BJ12" t="str">
        <f t="shared" si="13"/>
        <v>MASTER01</v>
      </c>
      <c r="BK12" t="str">
        <f t="shared" si="27"/>
        <v>2022/04/19</v>
      </c>
      <c r="BL12" t="str">
        <f t="shared" si="14"/>
        <v>NE00</v>
      </c>
      <c r="BM12" t="str">
        <f t="shared" si="15"/>
        <v>１工工務Ｇ</v>
      </c>
      <c r="BN12" t="str">
        <f t="shared" si="28"/>
        <v>46548</v>
      </c>
      <c r="BO12" t="str">
        <f t="shared" si="29"/>
        <v>長畑　玲奈</v>
      </c>
    </row>
    <row r="13" spans="1:67">
      <c r="A13" t="s">
        <v>122</v>
      </c>
      <c r="B13" t="str">
        <f>""</f>
        <v/>
      </c>
      <c r="C13" t="str">
        <f>""</f>
        <v/>
      </c>
      <c r="D13" t="s">
        <v>9</v>
      </c>
      <c r="E13" t="str">
        <f t="shared" si="0"/>
        <v>1Y</v>
      </c>
      <c r="F13" t="str">
        <f t="shared" si="1"/>
        <v>第１工場</v>
      </c>
      <c r="G13" t="str">
        <f t="shared" si="2"/>
        <v>手配</v>
      </c>
      <c r="H13" t="str">
        <f t="shared" si="3"/>
        <v>Ｐ</v>
      </c>
      <c r="I13" t="str">
        <f t="shared" si="20"/>
        <v>0024</v>
      </c>
      <c r="J13" t="str">
        <f t="shared" si="21"/>
        <v>（株）青山製作所</v>
      </c>
      <c r="K13" t="str">
        <f t="shared" si="22"/>
        <v>01</v>
      </c>
      <c r="L13" t="str">
        <f>""</f>
        <v/>
      </c>
      <c r="M13" t="str">
        <f t="shared" si="4"/>
        <v>――</v>
      </c>
      <c r="N13" t="str">
        <f t="shared" si="4"/>
        <v>――</v>
      </c>
      <c r="O13" t="str">
        <f t="shared" si="5"/>
        <v>Ｍ</v>
      </c>
      <c r="P13" t="str">
        <f t="shared" si="6"/>
        <v>01</v>
      </c>
      <c r="Q13" t="str">
        <f t="shared" si="7"/>
        <v>第１</v>
      </c>
      <c r="R13" t="str">
        <f t="shared" si="8"/>
        <v>1Y</v>
      </c>
      <c r="S13" t="str">
        <f t="shared" si="9"/>
        <v>安城第１工場</v>
      </c>
      <c r="T13" t="str">
        <f t="shared" si="10"/>
        <v>直接</v>
      </c>
      <c r="U13" t="str">
        <f>""</f>
        <v/>
      </c>
      <c r="V13" t="str">
        <f>""</f>
        <v/>
      </c>
      <c r="W13" t="str">
        <f>""</f>
        <v/>
      </c>
      <c r="X13">
        <v>1</v>
      </c>
      <c r="Y13">
        <v>6</v>
      </c>
      <c r="Z13">
        <v>5.76</v>
      </c>
      <c r="AA13">
        <v>0.95</v>
      </c>
      <c r="AB13">
        <v>3</v>
      </c>
      <c r="AC13">
        <v>0.95</v>
      </c>
      <c r="AD13">
        <v>0.95</v>
      </c>
      <c r="AE13">
        <v>1.1000000000000001</v>
      </c>
      <c r="AF13">
        <v>0.5</v>
      </c>
      <c r="AG13" t="str">
        <f t="shared" si="23"/>
        <v>006</v>
      </c>
      <c r="AH13" t="str">
        <f t="shared" si="24"/>
        <v>（株）青山製作所</v>
      </c>
      <c r="AI13" t="str">
        <f>"009"</f>
        <v>009</v>
      </c>
      <c r="AJ13" t="str">
        <f>"S-G-30"</f>
        <v>S-G-30</v>
      </c>
      <c r="AK13" t="str">
        <f>"20389"</f>
        <v>20389</v>
      </c>
      <c r="AL13" t="str">
        <f>"1836"</f>
        <v>1836</v>
      </c>
      <c r="AM13" t="str">
        <f>"ﾎﾞﾙﾄﾌﾗﾝｼﾞ"</f>
        <v>ﾎﾞﾙﾄﾌﾗﾝｼﾞ</v>
      </c>
      <c r="AN13" t="str">
        <f t="shared" si="30"/>
        <v>014</v>
      </c>
      <c r="AO13" t="str">
        <f t="shared" si="31"/>
        <v>TP-331 ﾊﾝﾖｳ</v>
      </c>
      <c r="AP13">
        <v>200</v>
      </c>
      <c r="AQ13" t="str">
        <f>""</f>
        <v/>
      </c>
      <c r="AR13" t="str">
        <f>""</f>
        <v/>
      </c>
      <c r="AS13" t="str">
        <f>""</f>
        <v/>
      </c>
      <c r="AT13" t="str">
        <f t="shared" si="11"/>
        <v>00</v>
      </c>
      <c r="AU13">
        <v>0.5</v>
      </c>
      <c r="AV13" t="str">
        <f>""</f>
        <v/>
      </c>
      <c r="AW13" t="str">
        <f t="shared" si="16"/>
        <v>08</v>
      </c>
      <c r="AX13" t="str">
        <f t="shared" si="17"/>
        <v>専用</v>
      </c>
      <c r="AY13" t="str">
        <f t="shared" si="18"/>
        <v>01</v>
      </c>
      <c r="AZ13" t="str">
        <f t="shared" si="19"/>
        <v>後補充</v>
      </c>
      <c r="BA13" t="str">
        <f>""</f>
        <v/>
      </c>
      <c r="BB13" t="str">
        <f t="shared" si="32"/>
        <v>ＴＰ３３１フタナシ</v>
      </c>
      <c r="BC13" t="str">
        <f t="shared" si="25"/>
        <v xml:space="preserve"> 335.000</v>
      </c>
      <c r="BD13" t="str">
        <f t="shared" si="25"/>
        <v xml:space="preserve"> 335.000</v>
      </c>
      <c r="BE13" t="str">
        <f t="shared" si="26"/>
        <v xml:space="preserve"> 103.000</v>
      </c>
      <c r="BF13" t="str">
        <f t="shared" si="33"/>
        <v xml:space="preserve">   0.012</v>
      </c>
      <c r="BG13" t="str">
        <f>"   9.850"</f>
        <v xml:space="preserve">   9.850</v>
      </c>
      <c r="BH13" t="str">
        <f t="shared" si="12"/>
        <v>しない</v>
      </c>
      <c r="BI13" t="str">
        <f>""</f>
        <v/>
      </c>
      <c r="BJ13" t="str">
        <f t="shared" si="13"/>
        <v>MASTER01</v>
      </c>
      <c r="BK13" t="str">
        <f t="shared" si="27"/>
        <v>2022/04/19</v>
      </c>
      <c r="BL13" t="str">
        <f t="shared" si="14"/>
        <v>NE00</v>
      </c>
      <c r="BM13" t="str">
        <f t="shared" si="15"/>
        <v>１工工務Ｇ</v>
      </c>
      <c r="BN13" t="str">
        <f t="shared" si="28"/>
        <v>46548</v>
      </c>
      <c r="BO13" t="str">
        <f t="shared" si="29"/>
        <v>長畑　玲奈</v>
      </c>
    </row>
    <row r="14" spans="1:67">
      <c r="A14">
        <v>9011906908</v>
      </c>
      <c r="B14" t="str">
        <f>""</f>
        <v/>
      </c>
      <c r="C14" t="str">
        <f>""</f>
        <v/>
      </c>
      <c r="D14" t="s">
        <v>10</v>
      </c>
      <c r="E14" t="str">
        <f t="shared" si="0"/>
        <v>1Y</v>
      </c>
      <c r="F14" t="str">
        <f t="shared" si="1"/>
        <v>第１工場</v>
      </c>
      <c r="G14" t="str">
        <f t="shared" si="2"/>
        <v>手配</v>
      </c>
      <c r="H14" t="str">
        <f t="shared" si="3"/>
        <v>Ｐ</v>
      </c>
      <c r="I14" t="str">
        <f t="shared" si="20"/>
        <v>0024</v>
      </c>
      <c r="J14" t="str">
        <f t="shared" si="21"/>
        <v>（株）青山製作所</v>
      </c>
      <c r="K14" t="str">
        <f t="shared" si="22"/>
        <v>01</v>
      </c>
      <c r="L14" t="str">
        <f>""</f>
        <v/>
      </c>
      <c r="M14" t="str">
        <f t="shared" si="4"/>
        <v>――</v>
      </c>
      <c r="N14" t="str">
        <f t="shared" si="4"/>
        <v>――</v>
      </c>
      <c r="O14" t="str">
        <f t="shared" si="5"/>
        <v>Ｍ</v>
      </c>
      <c r="P14" t="str">
        <f t="shared" si="6"/>
        <v>01</v>
      </c>
      <c r="Q14" t="str">
        <f t="shared" si="7"/>
        <v>第１</v>
      </c>
      <c r="R14" t="str">
        <f t="shared" si="8"/>
        <v>1Y</v>
      </c>
      <c r="S14" t="str">
        <f t="shared" si="9"/>
        <v>安城第１工場</v>
      </c>
      <c r="T14" t="str">
        <f t="shared" si="10"/>
        <v>直接</v>
      </c>
      <c r="U14" t="str">
        <f>""</f>
        <v/>
      </c>
      <c r="V14" t="str">
        <f>""</f>
        <v/>
      </c>
      <c r="W14" t="str">
        <f>""</f>
        <v/>
      </c>
      <c r="X14">
        <v>1</v>
      </c>
      <c r="Y14">
        <v>6</v>
      </c>
      <c r="Z14">
        <v>5.76</v>
      </c>
      <c r="AA14">
        <v>0.95</v>
      </c>
      <c r="AB14">
        <v>3</v>
      </c>
      <c r="AC14">
        <v>0.95</v>
      </c>
      <c r="AD14">
        <v>0.95</v>
      </c>
      <c r="AE14">
        <v>1.1000000000000001</v>
      </c>
      <c r="AF14">
        <v>0.5</v>
      </c>
      <c r="AG14" t="str">
        <f t="shared" si="23"/>
        <v>006</v>
      </c>
      <c r="AH14" t="str">
        <f t="shared" si="24"/>
        <v>（株）青山製作所</v>
      </c>
      <c r="AI14" t="str">
        <f>"010"</f>
        <v>010</v>
      </c>
      <c r="AJ14" t="str">
        <f>"M-MG-4"</f>
        <v>M-MG-4</v>
      </c>
      <c r="AK14" t="str">
        <f>"20388"</f>
        <v>20388</v>
      </c>
      <c r="AL14" t="str">
        <f>"1835"</f>
        <v>1835</v>
      </c>
      <c r="AM14" t="str">
        <f>"ﾎﾞﾙﾄｳｲｽﾞﾜﾂｼﾔ"</f>
        <v>ﾎﾞﾙﾄｳｲｽﾞﾜﾂｼﾔ</v>
      </c>
      <c r="AN14" t="str">
        <f t="shared" si="30"/>
        <v>014</v>
      </c>
      <c r="AO14" t="str">
        <f t="shared" si="31"/>
        <v>TP-331 ﾊﾝﾖｳ</v>
      </c>
      <c r="AP14">
        <v>2000</v>
      </c>
      <c r="AQ14" t="str">
        <f>""</f>
        <v/>
      </c>
      <c r="AR14" t="str">
        <f>""</f>
        <v/>
      </c>
      <c r="AS14" t="str">
        <f>""</f>
        <v/>
      </c>
      <c r="AT14" t="str">
        <f t="shared" si="11"/>
        <v>00</v>
      </c>
      <c r="AU14">
        <v>0.5</v>
      </c>
      <c r="AV14" t="str">
        <f>""</f>
        <v/>
      </c>
      <c r="AW14" t="str">
        <f t="shared" si="16"/>
        <v>08</v>
      </c>
      <c r="AX14" t="str">
        <f t="shared" si="17"/>
        <v>専用</v>
      </c>
      <c r="AY14" t="str">
        <f t="shared" si="18"/>
        <v>01</v>
      </c>
      <c r="AZ14" t="str">
        <f t="shared" si="19"/>
        <v>後補充</v>
      </c>
      <c r="BA14" t="str">
        <f>""</f>
        <v/>
      </c>
      <c r="BB14" t="str">
        <f t="shared" si="32"/>
        <v>ＴＰ３３１フタナシ</v>
      </c>
      <c r="BC14" t="str">
        <f t="shared" si="25"/>
        <v xml:space="preserve"> 335.000</v>
      </c>
      <c r="BD14" t="str">
        <f t="shared" si="25"/>
        <v xml:space="preserve"> 335.000</v>
      </c>
      <c r="BE14" t="str">
        <f t="shared" si="26"/>
        <v xml:space="preserve"> 103.000</v>
      </c>
      <c r="BF14" t="str">
        <f t="shared" si="33"/>
        <v xml:space="preserve">   0.012</v>
      </c>
      <c r="BG14" t="str">
        <f>"  15.830"</f>
        <v xml:space="preserve">  15.830</v>
      </c>
      <c r="BH14" t="str">
        <f t="shared" si="12"/>
        <v>しない</v>
      </c>
      <c r="BI14" t="str">
        <f>""</f>
        <v/>
      </c>
      <c r="BJ14" t="str">
        <f t="shared" si="13"/>
        <v>MASTER01</v>
      </c>
      <c r="BK14" t="str">
        <f t="shared" si="27"/>
        <v>2022/04/19</v>
      </c>
      <c r="BL14" t="str">
        <f t="shared" si="14"/>
        <v>NE00</v>
      </c>
      <c r="BM14" t="str">
        <f t="shared" si="15"/>
        <v>１工工務Ｇ</v>
      </c>
      <c r="BN14" t="str">
        <f t="shared" si="28"/>
        <v>46548</v>
      </c>
      <c r="BO14" t="str">
        <f t="shared" si="29"/>
        <v>長畑　玲奈</v>
      </c>
    </row>
    <row r="15" spans="1:67">
      <c r="A15" t="s">
        <v>123</v>
      </c>
      <c r="B15" t="str">
        <f>""</f>
        <v/>
      </c>
      <c r="C15" t="str">
        <f>""</f>
        <v/>
      </c>
      <c r="D15" t="s">
        <v>11</v>
      </c>
      <c r="E15" t="str">
        <f t="shared" si="0"/>
        <v>1Y</v>
      </c>
      <c r="F15" t="str">
        <f t="shared" si="1"/>
        <v>第１工場</v>
      </c>
      <c r="G15" t="str">
        <f t="shared" si="2"/>
        <v>手配</v>
      </c>
      <c r="H15" t="str">
        <f t="shared" si="3"/>
        <v>Ｐ</v>
      </c>
      <c r="I15" t="str">
        <f t="shared" si="20"/>
        <v>0024</v>
      </c>
      <c r="J15" t="str">
        <f t="shared" si="21"/>
        <v>（株）青山製作所</v>
      </c>
      <c r="K15" t="str">
        <f t="shared" si="22"/>
        <v>01</v>
      </c>
      <c r="L15" t="str">
        <f>""</f>
        <v/>
      </c>
      <c r="M15" t="str">
        <f t="shared" si="4"/>
        <v>――</v>
      </c>
      <c r="N15" t="str">
        <f t="shared" si="4"/>
        <v>――</v>
      </c>
      <c r="O15" t="str">
        <f t="shared" si="5"/>
        <v>Ｍ</v>
      </c>
      <c r="P15" t="str">
        <f t="shared" si="6"/>
        <v>01</v>
      </c>
      <c r="Q15" t="str">
        <f t="shared" si="7"/>
        <v>第１</v>
      </c>
      <c r="R15" t="str">
        <f t="shared" si="8"/>
        <v>1Y</v>
      </c>
      <c r="S15" t="str">
        <f t="shared" si="9"/>
        <v>安城第１工場</v>
      </c>
      <c r="T15" t="str">
        <f t="shared" si="10"/>
        <v>直接</v>
      </c>
      <c r="U15" t="str">
        <f>""</f>
        <v/>
      </c>
      <c r="V15" t="str">
        <f>""</f>
        <v/>
      </c>
      <c r="W15" t="str">
        <f>""</f>
        <v/>
      </c>
      <c r="X15">
        <v>1</v>
      </c>
      <c r="Y15">
        <v>6</v>
      </c>
      <c r="Z15">
        <v>5.76</v>
      </c>
      <c r="AA15">
        <v>0.95</v>
      </c>
      <c r="AB15">
        <v>3</v>
      </c>
      <c r="AC15">
        <v>0.95</v>
      </c>
      <c r="AD15">
        <v>0.95</v>
      </c>
      <c r="AE15">
        <v>1.1000000000000001</v>
      </c>
      <c r="AF15">
        <v>0.5</v>
      </c>
      <c r="AG15" t="str">
        <f t="shared" si="23"/>
        <v>006</v>
      </c>
      <c r="AH15" t="str">
        <f t="shared" si="24"/>
        <v>（株）青山製作所</v>
      </c>
      <c r="AI15" t="str">
        <f>"011"</f>
        <v>011</v>
      </c>
      <c r="AJ15" t="str">
        <f>"M-ST-9"</f>
        <v>M-ST-9</v>
      </c>
      <c r="AK15" t="str">
        <f>"20375"</f>
        <v>20375</v>
      </c>
      <c r="AL15" t="str">
        <f>"1843"</f>
        <v>1843</v>
      </c>
      <c r="AM15" t="s">
        <v>12</v>
      </c>
      <c r="AN15" t="str">
        <f t="shared" si="30"/>
        <v>014</v>
      </c>
      <c r="AO15" t="str">
        <f t="shared" si="31"/>
        <v>TP-331 ﾊﾝﾖｳ</v>
      </c>
      <c r="AP15">
        <v>1000</v>
      </c>
      <c r="AQ15" t="str">
        <f>""</f>
        <v/>
      </c>
      <c r="AR15" t="str">
        <f>""</f>
        <v/>
      </c>
      <c r="AS15" t="str">
        <f>""</f>
        <v/>
      </c>
      <c r="AT15" t="str">
        <f t="shared" si="11"/>
        <v>00</v>
      </c>
      <c r="AU15">
        <v>0.5</v>
      </c>
      <c r="AV15" t="str">
        <f>""</f>
        <v/>
      </c>
      <c r="AW15" t="str">
        <f t="shared" si="16"/>
        <v>08</v>
      </c>
      <c r="AX15" t="str">
        <f t="shared" si="17"/>
        <v>専用</v>
      </c>
      <c r="AY15" t="str">
        <f t="shared" si="18"/>
        <v>01</v>
      </c>
      <c r="AZ15" t="str">
        <f t="shared" si="19"/>
        <v>後補充</v>
      </c>
      <c r="BA15" t="str">
        <f>""</f>
        <v/>
      </c>
      <c r="BB15" t="str">
        <f t="shared" si="32"/>
        <v>ＴＰ３３１フタナシ</v>
      </c>
      <c r="BC15" t="str">
        <f t="shared" si="25"/>
        <v xml:space="preserve"> 335.000</v>
      </c>
      <c r="BD15" t="str">
        <f t="shared" si="25"/>
        <v xml:space="preserve"> 335.000</v>
      </c>
      <c r="BE15" t="str">
        <f t="shared" si="26"/>
        <v xml:space="preserve"> 103.000</v>
      </c>
      <c r="BF15" t="str">
        <f t="shared" si="33"/>
        <v xml:space="preserve">   0.012</v>
      </c>
      <c r="BG15" t="str">
        <f>"  11.830"</f>
        <v xml:space="preserve">  11.830</v>
      </c>
      <c r="BH15" t="str">
        <f t="shared" si="12"/>
        <v>しない</v>
      </c>
      <c r="BI15" t="str">
        <f>""</f>
        <v/>
      </c>
      <c r="BJ15" t="str">
        <f t="shared" si="13"/>
        <v>MASTER01</v>
      </c>
      <c r="BK15" t="str">
        <f t="shared" si="27"/>
        <v>2022/04/19</v>
      </c>
      <c r="BL15" t="str">
        <f t="shared" si="14"/>
        <v>NE00</v>
      </c>
      <c r="BM15" t="str">
        <f t="shared" si="15"/>
        <v>１工工務Ｇ</v>
      </c>
      <c r="BN15" t="str">
        <f t="shared" si="28"/>
        <v>46548</v>
      </c>
      <c r="BO15" t="str">
        <f t="shared" si="29"/>
        <v>長畑　玲奈</v>
      </c>
    </row>
    <row r="16" spans="1:67">
      <c r="A16">
        <v>9014860027</v>
      </c>
      <c r="B16" t="str">
        <f>""</f>
        <v/>
      </c>
      <c r="C16" t="str">
        <f>""</f>
        <v/>
      </c>
      <c r="D16" t="s">
        <v>13</v>
      </c>
      <c r="E16" t="str">
        <f t="shared" si="0"/>
        <v>1Y</v>
      </c>
      <c r="F16" t="str">
        <f t="shared" si="1"/>
        <v>第１工場</v>
      </c>
      <c r="G16" t="str">
        <f t="shared" si="2"/>
        <v>手配</v>
      </c>
      <c r="H16" t="str">
        <f t="shared" si="3"/>
        <v>Ｐ</v>
      </c>
      <c r="I16" t="str">
        <f t="shared" si="20"/>
        <v>0024</v>
      </c>
      <c r="J16" t="str">
        <f t="shared" si="21"/>
        <v>（株）青山製作所</v>
      </c>
      <c r="K16" t="str">
        <f t="shared" si="22"/>
        <v>01</v>
      </c>
      <c r="L16" t="str">
        <f>""</f>
        <v/>
      </c>
      <c r="M16" t="str">
        <f t="shared" si="4"/>
        <v>――</v>
      </c>
      <c r="N16" t="str">
        <f t="shared" si="4"/>
        <v>――</v>
      </c>
      <c r="O16" t="str">
        <f t="shared" si="5"/>
        <v>Ｍ</v>
      </c>
      <c r="P16" t="str">
        <f t="shared" si="6"/>
        <v>01</v>
      </c>
      <c r="Q16" t="str">
        <f t="shared" si="7"/>
        <v>第１</v>
      </c>
      <c r="R16" t="str">
        <f t="shared" si="8"/>
        <v>1Y</v>
      </c>
      <c r="S16" t="str">
        <f t="shared" si="9"/>
        <v>安城第１工場</v>
      </c>
      <c r="T16" t="str">
        <f t="shared" si="10"/>
        <v>直接</v>
      </c>
      <c r="U16" t="str">
        <f>""</f>
        <v/>
      </c>
      <c r="V16" t="str">
        <f>""</f>
        <v/>
      </c>
      <c r="W16" t="str">
        <f>""</f>
        <v/>
      </c>
      <c r="X16">
        <v>1</v>
      </c>
      <c r="Y16">
        <v>6</v>
      </c>
      <c r="Z16">
        <v>5.76</v>
      </c>
      <c r="AA16">
        <v>0.95</v>
      </c>
      <c r="AB16">
        <v>3</v>
      </c>
      <c r="AC16">
        <v>0.95</v>
      </c>
      <c r="AD16">
        <v>0.95</v>
      </c>
      <c r="AE16">
        <v>1.1000000000000001</v>
      </c>
      <c r="AF16">
        <v>0.5</v>
      </c>
      <c r="AG16" t="str">
        <f t="shared" si="23"/>
        <v>006</v>
      </c>
      <c r="AH16" t="str">
        <f t="shared" si="24"/>
        <v>（株）青山製作所</v>
      </c>
      <c r="AI16" t="str">
        <f>"012"</f>
        <v>012</v>
      </c>
      <c r="AJ16" t="str">
        <f>"M-C-2-3"</f>
        <v>M-C-2-3</v>
      </c>
      <c r="AK16" t="str">
        <f>"20367"</f>
        <v>20367</v>
      </c>
      <c r="AL16" t="str">
        <f>"2384"</f>
        <v>2384</v>
      </c>
      <c r="AM16" t="str">
        <f>"ｽｸﾘﾕ-"</f>
        <v>ｽｸﾘﾕ-</v>
      </c>
      <c r="AN16" t="str">
        <f t="shared" si="30"/>
        <v>014</v>
      </c>
      <c r="AO16" t="str">
        <f t="shared" si="31"/>
        <v>TP-331 ﾊﾝﾖｳ</v>
      </c>
      <c r="AP16">
        <v>2000</v>
      </c>
      <c r="AQ16" t="str">
        <f>""</f>
        <v/>
      </c>
      <c r="AR16" t="str">
        <f>""</f>
        <v/>
      </c>
      <c r="AS16" t="str">
        <f>""</f>
        <v/>
      </c>
      <c r="AT16" t="str">
        <f t="shared" si="11"/>
        <v>00</v>
      </c>
      <c r="AU16">
        <v>0.5</v>
      </c>
      <c r="AV16" t="str">
        <f>""</f>
        <v/>
      </c>
      <c r="AW16" t="str">
        <f t="shared" si="16"/>
        <v>08</v>
      </c>
      <c r="AX16" t="str">
        <f t="shared" si="17"/>
        <v>専用</v>
      </c>
      <c r="AY16" t="str">
        <f t="shared" si="18"/>
        <v>01</v>
      </c>
      <c r="AZ16" t="str">
        <f t="shared" si="19"/>
        <v>後補充</v>
      </c>
      <c r="BA16" t="str">
        <f>""</f>
        <v/>
      </c>
      <c r="BB16" t="str">
        <f t="shared" si="32"/>
        <v>ＴＰ３３１フタナシ</v>
      </c>
      <c r="BC16" t="str">
        <f t="shared" si="25"/>
        <v xml:space="preserve"> 335.000</v>
      </c>
      <c r="BD16" t="str">
        <f t="shared" si="25"/>
        <v xml:space="preserve"> 335.000</v>
      </c>
      <c r="BE16" t="str">
        <f t="shared" si="26"/>
        <v xml:space="preserve"> 103.000</v>
      </c>
      <c r="BF16" t="str">
        <f t="shared" si="33"/>
        <v xml:space="preserve">   0.012</v>
      </c>
      <c r="BG16" t="str">
        <f>"  13.630"</f>
        <v xml:space="preserve">  13.630</v>
      </c>
      <c r="BH16" t="str">
        <f t="shared" si="12"/>
        <v>しない</v>
      </c>
      <c r="BI16" t="str">
        <f>""</f>
        <v/>
      </c>
      <c r="BJ16" t="str">
        <f t="shared" si="13"/>
        <v>MASTER01</v>
      </c>
      <c r="BK16" t="str">
        <f t="shared" si="27"/>
        <v>2022/04/19</v>
      </c>
      <c r="BL16" t="str">
        <f t="shared" si="14"/>
        <v>NE00</v>
      </c>
      <c r="BM16" t="str">
        <f t="shared" si="15"/>
        <v>１工工務Ｇ</v>
      </c>
      <c r="BN16" t="str">
        <f t="shared" si="28"/>
        <v>46548</v>
      </c>
      <c r="BO16" t="str">
        <f t="shared" si="29"/>
        <v>長畑　玲奈</v>
      </c>
    </row>
    <row r="17" spans="1:67">
      <c r="A17" t="s">
        <v>124</v>
      </c>
      <c r="B17" t="str">
        <f>""</f>
        <v/>
      </c>
      <c r="C17" t="str">
        <f>""</f>
        <v/>
      </c>
      <c r="D17" t="str">
        <f>"SCREW"</f>
        <v>SCREW</v>
      </c>
      <c r="E17" t="str">
        <f t="shared" si="0"/>
        <v>1Y</v>
      </c>
      <c r="F17" t="str">
        <f t="shared" si="1"/>
        <v>第１工場</v>
      </c>
      <c r="G17" t="str">
        <f t="shared" si="2"/>
        <v>手配</v>
      </c>
      <c r="H17" t="str">
        <f t="shared" si="3"/>
        <v>Ｐ</v>
      </c>
      <c r="I17" t="str">
        <f t="shared" si="20"/>
        <v>0024</v>
      </c>
      <c r="J17" t="str">
        <f t="shared" si="21"/>
        <v>（株）青山製作所</v>
      </c>
      <c r="K17" t="str">
        <f t="shared" si="22"/>
        <v>01</v>
      </c>
      <c r="L17" t="str">
        <f>""</f>
        <v/>
      </c>
      <c r="M17" t="str">
        <f t="shared" si="4"/>
        <v>――</v>
      </c>
      <c r="N17" t="str">
        <f t="shared" si="4"/>
        <v>――</v>
      </c>
      <c r="O17" t="str">
        <f t="shared" si="5"/>
        <v>Ｍ</v>
      </c>
      <c r="P17" t="str">
        <f t="shared" si="6"/>
        <v>01</v>
      </c>
      <c r="Q17" t="str">
        <f t="shared" si="7"/>
        <v>第１</v>
      </c>
      <c r="R17" t="str">
        <f t="shared" si="8"/>
        <v>1Y</v>
      </c>
      <c r="S17" t="str">
        <f t="shared" si="9"/>
        <v>安城第１工場</v>
      </c>
      <c r="T17" t="str">
        <f t="shared" si="10"/>
        <v>直接</v>
      </c>
      <c r="U17" t="str">
        <f>""</f>
        <v/>
      </c>
      <c r="V17" t="str">
        <f>""</f>
        <v/>
      </c>
      <c r="W17" t="str">
        <f>""</f>
        <v/>
      </c>
      <c r="X17">
        <v>1</v>
      </c>
      <c r="Y17">
        <v>6</v>
      </c>
      <c r="Z17">
        <v>5.76</v>
      </c>
      <c r="AA17">
        <v>0.95</v>
      </c>
      <c r="AB17">
        <v>3</v>
      </c>
      <c r="AC17">
        <v>0.95</v>
      </c>
      <c r="AD17">
        <v>0.95</v>
      </c>
      <c r="AE17">
        <v>1.1000000000000001</v>
      </c>
      <c r="AF17">
        <v>0.5</v>
      </c>
      <c r="AG17" t="str">
        <f t="shared" si="23"/>
        <v>006</v>
      </c>
      <c r="AH17" t="str">
        <f t="shared" si="24"/>
        <v>（株）青山製作所</v>
      </c>
      <c r="AI17" t="str">
        <f>"013"</f>
        <v>013</v>
      </c>
      <c r="AJ17" t="str">
        <f>"C1-3"</f>
        <v>C1-3</v>
      </c>
      <c r="AK17" t="str">
        <f>"20382"</f>
        <v>20382</v>
      </c>
      <c r="AL17" t="str">
        <f>"2394"</f>
        <v>2394</v>
      </c>
      <c r="AM17" t="str">
        <f>"ｽｸﾘﾕ-"</f>
        <v>ｽｸﾘﾕ-</v>
      </c>
      <c r="AN17" t="str">
        <f t="shared" si="30"/>
        <v>014</v>
      </c>
      <c r="AO17" t="str">
        <f t="shared" si="31"/>
        <v>TP-331 ﾊﾝﾖｳ</v>
      </c>
      <c r="AP17">
        <v>800</v>
      </c>
      <c r="AQ17" t="str">
        <f>""</f>
        <v/>
      </c>
      <c r="AR17" t="str">
        <f>""</f>
        <v/>
      </c>
      <c r="AS17" t="str">
        <f>""</f>
        <v/>
      </c>
      <c r="AT17" t="str">
        <f t="shared" si="11"/>
        <v>00</v>
      </c>
      <c r="AU17">
        <v>0.5</v>
      </c>
      <c r="AV17" t="str">
        <f>""</f>
        <v/>
      </c>
      <c r="AW17" t="str">
        <f t="shared" si="16"/>
        <v>08</v>
      </c>
      <c r="AX17" t="str">
        <f t="shared" si="17"/>
        <v>専用</v>
      </c>
      <c r="AY17" t="str">
        <f t="shared" si="18"/>
        <v>01</v>
      </c>
      <c r="AZ17" t="str">
        <f t="shared" si="19"/>
        <v>後補充</v>
      </c>
      <c r="BA17" t="str">
        <f>""</f>
        <v/>
      </c>
      <c r="BB17" t="str">
        <f t="shared" si="32"/>
        <v>ＴＰ３３１フタナシ</v>
      </c>
      <c r="BC17" t="str">
        <f t="shared" si="25"/>
        <v xml:space="preserve"> 335.000</v>
      </c>
      <c r="BD17" t="str">
        <f t="shared" si="25"/>
        <v xml:space="preserve"> 335.000</v>
      </c>
      <c r="BE17" t="str">
        <f t="shared" si="26"/>
        <v xml:space="preserve"> 103.000</v>
      </c>
      <c r="BF17" t="str">
        <f t="shared" si="33"/>
        <v xml:space="preserve">   0.012</v>
      </c>
      <c r="BG17" t="str">
        <f>"  10.590"</f>
        <v xml:space="preserve">  10.590</v>
      </c>
      <c r="BH17" t="str">
        <f t="shared" si="12"/>
        <v>しない</v>
      </c>
      <c r="BI17" t="str">
        <f>""</f>
        <v/>
      </c>
      <c r="BJ17" t="str">
        <f t="shared" si="13"/>
        <v>MASTER01</v>
      </c>
      <c r="BK17" t="str">
        <f t="shared" si="27"/>
        <v>2022/04/19</v>
      </c>
      <c r="BL17" t="str">
        <f t="shared" si="14"/>
        <v>NE00</v>
      </c>
      <c r="BM17" t="str">
        <f t="shared" si="15"/>
        <v>１工工務Ｇ</v>
      </c>
      <c r="BN17" t="str">
        <f t="shared" si="28"/>
        <v>46548</v>
      </c>
      <c r="BO17" t="str">
        <f t="shared" si="29"/>
        <v>長畑　玲奈</v>
      </c>
    </row>
    <row r="18" spans="1:67">
      <c r="A18" t="s">
        <v>125</v>
      </c>
      <c r="B18" t="str">
        <f>""</f>
        <v/>
      </c>
      <c r="C18" t="str">
        <f>""</f>
        <v/>
      </c>
      <c r="D18" t="s">
        <v>14</v>
      </c>
      <c r="E18" t="str">
        <f t="shared" si="0"/>
        <v>1Y</v>
      </c>
      <c r="F18" t="str">
        <f t="shared" si="1"/>
        <v>第１工場</v>
      </c>
      <c r="G18" t="str">
        <f t="shared" si="2"/>
        <v>手配</v>
      </c>
      <c r="H18" t="str">
        <f t="shared" si="3"/>
        <v>Ｐ</v>
      </c>
      <c r="I18" t="str">
        <f t="shared" si="20"/>
        <v>0024</v>
      </c>
      <c r="J18" t="str">
        <f t="shared" si="21"/>
        <v>（株）青山製作所</v>
      </c>
      <c r="K18" t="str">
        <f t="shared" si="22"/>
        <v>01</v>
      </c>
      <c r="L18" t="str">
        <f>""</f>
        <v/>
      </c>
      <c r="M18" t="str">
        <f t="shared" si="4"/>
        <v>――</v>
      </c>
      <c r="N18" t="str">
        <f t="shared" si="4"/>
        <v>――</v>
      </c>
      <c r="O18" t="str">
        <f t="shared" si="5"/>
        <v>Ｍ</v>
      </c>
      <c r="P18" t="str">
        <f t="shared" si="6"/>
        <v>01</v>
      </c>
      <c r="Q18" t="str">
        <f t="shared" si="7"/>
        <v>第１</v>
      </c>
      <c r="R18" t="str">
        <f t="shared" si="8"/>
        <v>1Y</v>
      </c>
      <c r="S18" t="str">
        <f t="shared" si="9"/>
        <v>安城第１工場</v>
      </c>
      <c r="T18" t="str">
        <f t="shared" si="10"/>
        <v>直接</v>
      </c>
      <c r="U18" t="str">
        <f>""</f>
        <v/>
      </c>
      <c r="V18" t="str">
        <f>""</f>
        <v/>
      </c>
      <c r="W18" t="str">
        <f>""</f>
        <v/>
      </c>
      <c r="X18">
        <v>1</v>
      </c>
      <c r="Y18">
        <v>6</v>
      </c>
      <c r="Z18">
        <v>5.76</v>
      </c>
      <c r="AA18">
        <v>0.95</v>
      </c>
      <c r="AB18">
        <v>3</v>
      </c>
      <c r="AC18">
        <v>0.95</v>
      </c>
      <c r="AD18">
        <v>0.95</v>
      </c>
      <c r="AE18">
        <v>1.1000000000000001</v>
      </c>
      <c r="AF18">
        <v>0.5</v>
      </c>
      <c r="AG18" t="str">
        <f t="shared" si="23"/>
        <v>006</v>
      </c>
      <c r="AH18" t="str">
        <f t="shared" si="24"/>
        <v>（株）青山製作所</v>
      </c>
      <c r="AI18" t="str">
        <f>"014"</f>
        <v>014</v>
      </c>
      <c r="AJ18" t="str">
        <f>"C1-23"</f>
        <v>C1-23</v>
      </c>
      <c r="AK18" t="str">
        <f>"20385"</f>
        <v>20385</v>
      </c>
      <c r="AL18" t="str">
        <f>"2386"</f>
        <v>2386</v>
      </c>
      <c r="AM18" t="str">
        <f>"ｽｸﾘｭｰW/ﾜｯｼｬｰ"</f>
        <v>ｽｸﾘｭｰW/ﾜｯｼｬｰ</v>
      </c>
      <c r="AN18" t="str">
        <f t="shared" si="30"/>
        <v>014</v>
      </c>
      <c r="AO18" t="str">
        <f t="shared" si="31"/>
        <v>TP-331 ﾊﾝﾖｳ</v>
      </c>
      <c r="AP18">
        <v>2000</v>
      </c>
      <c r="AQ18" t="str">
        <f>""</f>
        <v/>
      </c>
      <c r="AR18" t="str">
        <f>""</f>
        <v/>
      </c>
      <c r="AS18" t="str">
        <f>""</f>
        <v/>
      </c>
      <c r="AT18" t="str">
        <f t="shared" si="11"/>
        <v>00</v>
      </c>
      <c r="AU18">
        <v>0.5</v>
      </c>
      <c r="AV18" t="str">
        <f>""</f>
        <v/>
      </c>
      <c r="AW18" t="str">
        <f t="shared" si="16"/>
        <v>08</v>
      </c>
      <c r="AX18" t="str">
        <f t="shared" si="17"/>
        <v>専用</v>
      </c>
      <c r="AY18" t="str">
        <f t="shared" si="18"/>
        <v>01</v>
      </c>
      <c r="AZ18" t="str">
        <f t="shared" si="19"/>
        <v>後補充</v>
      </c>
      <c r="BA18" t="str">
        <f>""</f>
        <v/>
      </c>
      <c r="BB18" t="str">
        <f t="shared" si="32"/>
        <v>ＴＰ３３１フタナシ</v>
      </c>
      <c r="BC18" t="str">
        <f t="shared" si="25"/>
        <v xml:space="preserve"> 335.000</v>
      </c>
      <c r="BD18" t="str">
        <f t="shared" si="25"/>
        <v xml:space="preserve"> 335.000</v>
      </c>
      <c r="BE18" t="str">
        <f t="shared" si="26"/>
        <v xml:space="preserve"> 103.000</v>
      </c>
      <c r="BF18" t="str">
        <f t="shared" si="33"/>
        <v xml:space="preserve">   0.012</v>
      </c>
      <c r="BG18" t="str">
        <f>"   9.430"</f>
        <v xml:space="preserve">   9.430</v>
      </c>
      <c r="BH18" t="str">
        <f t="shared" si="12"/>
        <v>しない</v>
      </c>
      <c r="BI18" t="str">
        <f>""</f>
        <v/>
      </c>
      <c r="BJ18" t="str">
        <f t="shared" si="13"/>
        <v>MASTER01</v>
      </c>
      <c r="BK18" t="str">
        <f t="shared" si="27"/>
        <v>2022/04/19</v>
      </c>
      <c r="BL18" t="str">
        <f t="shared" si="14"/>
        <v>NE00</v>
      </c>
      <c r="BM18" t="str">
        <f t="shared" si="15"/>
        <v>１工工務Ｇ</v>
      </c>
      <c r="BN18" t="str">
        <f t="shared" si="28"/>
        <v>46548</v>
      </c>
      <c r="BO18" t="str">
        <f t="shared" si="29"/>
        <v>長畑　玲奈</v>
      </c>
    </row>
    <row r="19" spans="1:67">
      <c r="A19" t="s">
        <v>126</v>
      </c>
      <c r="B19" t="str">
        <f>""</f>
        <v/>
      </c>
      <c r="C19" t="str">
        <f>""</f>
        <v/>
      </c>
      <c r="D19" t="s">
        <v>14</v>
      </c>
      <c r="E19" t="str">
        <f t="shared" si="0"/>
        <v>1Y</v>
      </c>
      <c r="F19" t="str">
        <f t="shared" si="1"/>
        <v>第１工場</v>
      </c>
      <c r="G19" t="str">
        <f t="shared" si="2"/>
        <v>手配</v>
      </c>
      <c r="H19" t="str">
        <f t="shared" si="3"/>
        <v>Ｐ</v>
      </c>
      <c r="I19" t="str">
        <f t="shared" si="20"/>
        <v>0024</v>
      </c>
      <c r="J19" t="str">
        <f t="shared" si="21"/>
        <v>（株）青山製作所</v>
      </c>
      <c r="K19" t="str">
        <f t="shared" si="22"/>
        <v>01</v>
      </c>
      <c r="L19" t="str">
        <f>""</f>
        <v/>
      </c>
      <c r="M19" t="str">
        <f t="shared" si="4"/>
        <v>――</v>
      </c>
      <c r="N19" t="str">
        <f t="shared" si="4"/>
        <v>――</v>
      </c>
      <c r="O19" t="str">
        <f t="shared" si="5"/>
        <v>Ｍ</v>
      </c>
      <c r="P19" t="str">
        <f t="shared" si="6"/>
        <v>01</v>
      </c>
      <c r="Q19" t="str">
        <f t="shared" si="7"/>
        <v>第１</v>
      </c>
      <c r="R19" t="str">
        <f t="shared" si="8"/>
        <v>1Y</v>
      </c>
      <c r="S19" t="str">
        <f t="shared" si="9"/>
        <v>安城第１工場</v>
      </c>
      <c r="T19" t="str">
        <f t="shared" si="10"/>
        <v>直接</v>
      </c>
      <c r="U19" t="str">
        <f>""</f>
        <v/>
      </c>
      <c r="V19" t="str">
        <f>""</f>
        <v/>
      </c>
      <c r="W19" t="str">
        <f>""</f>
        <v/>
      </c>
      <c r="X19">
        <v>1</v>
      </c>
      <c r="Y19">
        <v>6</v>
      </c>
      <c r="Z19">
        <v>5.76</v>
      </c>
      <c r="AA19">
        <v>0.95</v>
      </c>
      <c r="AB19">
        <v>3</v>
      </c>
      <c r="AC19">
        <v>0.95</v>
      </c>
      <c r="AD19">
        <v>0.95</v>
      </c>
      <c r="AE19">
        <v>1.1000000000000001</v>
      </c>
      <c r="AF19">
        <v>0.5</v>
      </c>
      <c r="AG19" t="str">
        <f t="shared" si="23"/>
        <v>006</v>
      </c>
      <c r="AH19" t="str">
        <f t="shared" si="24"/>
        <v>（株）青山製作所</v>
      </c>
      <c r="AI19" t="str">
        <f>"029"</f>
        <v>029</v>
      </c>
      <c r="AJ19" t="str">
        <f>""</f>
        <v/>
      </c>
      <c r="AK19" t="str">
        <f>""</f>
        <v/>
      </c>
      <c r="AL19" t="str">
        <f>"1830"</f>
        <v>1830</v>
      </c>
      <c r="AM19" t="str">
        <f>"ﾎﾞﾙﾄ"</f>
        <v>ﾎﾞﾙﾄ</v>
      </c>
      <c r="AN19" t="str">
        <f t="shared" si="30"/>
        <v>014</v>
      </c>
      <c r="AO19" t="str">
        <f t="shared" si="31"/>
        <v>TP-331 ﾊﾝﾖｳ</v>
      </c>
      <c r="AP19">
        <v>1000</v>
      </c>
      <c r="AQ19" t="str">
        <f>""</f>
        <v/>
      </c>
      <c r="AR19" t="str">
        <f>""</f>
        <v/>
      </c>
      <c r="AS19" t="str">
        <f>""</f>
        <v/>
      </c>
      <c r="AT19" t="str">
        <f t="shared" si="11"/>
        <v>00</v>
      </c>
      <c r="AU19">
        <v>0.5</v>
      </c>
      <c r="AV19" t="str">
        <f>""</f>
        <v/>
      </c>
      <c r="AW19" t="str">
        <f>""</f>
        <v/>
      </c>
      <c r="AX19" t="str">
        <f>""</f>
        <v/>
      </c>
      <c r="AY19" t="str">
        <f>""</f>
        <v/>
      </c>
      <c r="AZ19" t="str">
        <f>""</f>
        <v/>
      </c>
      <c r="BA19" t="str">
        <f>""</f>
        <v/>
      </c>
      <c r="BB19" t="str">
        <f t="shared" si="32"/>
        <v>ＴＰ３３１フタナシ</v>
      </c>
      <c r="BC19" t="str">
        <f t="shared" si="25"/>
        <v xml:space="preserve"> 335.000</v>
      </c>
      <c r="BD19" t="str">
        <f t="shared" si="25"/>
        <v xml:space="preserve"> 335.000</v>
      </c>
      <c r="BE19" t="str">
        <f t="shared" si="26"/>
        <v xml:space="preserve"> 103.000</v>
      </c>
      <c r="BF19" t="str">
        <f t="shared" si="33"/>
        <v xml:space="preserve">   0.012</v>
      </c>
      <c r="BG19" t="str">
        <f>"   7.830"</f>
        <v xml:space="preserve">   7.830</v>
      </c>
      <c r="BH19" t="str">
        <f t="shared" si="12"/>
        <v>しない</v>
      </c>
      <c r="BI19" t="str">
        <f>""</f>
        <v/>
      </c>
      <c r="BJ19" t="str">
        <f t="shared" si="13"/>
        <v>MASTER01</v>
      </c>
      <c r="BK19" t="str">
        <f>"2023/01/16"</f>
        <v>2023/01/16</v>
      </c>
      <c r="BL19" t="str">
        <f t="shared" si="14"/>
        <v>NE00</v>
      </c>
      <c r="BM19" t="str">
        <f t="shared" si="15"/>
        <v>１工工務Ｇ</v>
      </c>
      <c r="BN19" t="str">
        <f t="shared" si="28"/>
        <v>46548</v>
      </c>
      <c r="BO19" t="str">
        <f t="shared" si="29"/>
        <v>長畑　玲奈</v>
      </c>
    </row>
    <row r="20" spans="1:67">
      <c r="A20" t="s">
        <v>127</v>
      </c>
      <c r="B20" t="str">
        <f>""</f>
        <v/>
      </c>
      <c r="C20" t="str">
        <f>""</f>
        <v/>
      </c>
      <c r="D20" t="s">
        <v>14</v>
      </c>
      <c r="E20" t="str">
        <f t="shared" si="0"/>
        <v>1Y</v>
      </c>
      <c r="F20" t="str">
        <f t="shared" si="1"/>
        <v>第１工場</v>
      </c>
      <c r="G20" t="str">
        <f t="shared" si="2"/>
        <v>手配</v>
      </c>
      <c r="H20" t="str">
        <f t="shared" si="3"/>
        <v>Ｐ</v>
      </c>
      <c r="I20" t="str">
        <f t="shared" si="20"/>
        <v>0024</v>
      </c>
      <c r="J20" t="str">
        <f t="shared" si="21"/>
        <v>（株）青山製作所</v>
      </c>
      <c r="K20" t="str">
        <f t="shared" si="22"/>
        <v>01</v>
      </c>
      <c r="L20" t="str">
        <f>""</f>
        <v/>
      </c>
      <c r="M20" t="str">
        <f t="shared" si="4"/>
        <v>――</v>
      </c>
      <c r="N20" t="str">
        <f t="shared" si="4"/>
        <v>――</v>
      </c>
      <c r="O20" t="str">
        <f t="shared" si="5"/>
        <v>Ｍ</v>
      </c>
      <c r="P20" t="str">
        <f t="shared" si="6"/>
        <v>01</v>
      </c>
      <c r="Q20" t="str">
        <f t="shared" si="7"/>
        <v>第１</v>
      </c>
      <c r="R20" t="str">
        <f t="shared" si="8"/>
        <v>1Y</v>
      </c>
      <c r="S20" t="str">
        <f t="shared" si="9"/>
        <v>安城第１工場</v>
      </c>
      <c r="T20" t="str">
        <f t="shared" si="10"/>
        <v>直接</v>
      </c>
      <c r="U20" t="str">
        <f>""</f>
        <v/>
      </c>
      <c r="V20" t="str">
        <f>""</f>
        <v/>
      </c>
      <c r="W20" t="str">
        <f>""</f>
        <v/>
      </c>
      <c r="X20">
        <v>1</v>
      </c>
      <c r="Y20">
        <v>6</v>
      </c>
      <c r="Z20">
        <v>5.76</v>
      </c>
      <c r="AA20">
        <v>0.95</v>
      </c>
      <c r="AB20">
        <v>3</v>
      </c>
      <c r="AC20">
        <v>0.95</v>
      </c>
      <c r="AD20">
        <v>0.95</v>
      </c>
      <c r="AE20">
        <v>1.1000000000000001</v>
      </c>
      <c r="AF20">
        <v>0.5</v>
      </c>
      <c r="AG20" t="str">
        <f t="shared" si="23"/>
        <v>006</v>
      </c>
      <c r="AH20" t="str">
        <f t="shared" si="24"/>
        <v>（株）青山製作所</v>
      </c>
      <c r="AI20" t="str">
        <f>"015"</f>
        <v>015</v>
      </c>
      <c r="AJ20" t="str">
        <f>"C3-2"</f>
        <v>C3-2</v>
      </c>
      <c r="AK20" t="str">
        <f>"20383"</f>
        <v>20383</v>
      </c>
      <c r="AL20" t="str">
        <f>"2386"</f>
        <v>2386</v>
      </c>
      <c r="AM20" t="str">
        <f>"ｽｸﾘｭｰW/ﾜｯｼｬｰ"</f>
        <v>ｽｸﾘｭｰW/ﾜｯｼｬｰ</v>
      </c>
      <c r="AN20" t="str">
        <f t="shared" si="30"/>
        <v>014</v>
      </c>
      <c r="AO20" t="str">
        <f t="shared" si="31"/>
        <v>TP-331 ﾊﾝﾖｳ</v>
      </c>
      <c r="AP20">
        <v>1200</v>
      </c>
      <c r="AQ20" t="str">
        <f>""</f>
        <v/>
      </c>
      <c r="AR20" t="str">
        <f>""</f>
        <v/>
      </c>
      <c r="AS20" t="str">
        <f>""</f>
        <v/>
      </c>
      <c r="AT20" t="str">
        <f t="shared" si="11"/>
        <v>00</v>
      </c>
      <c r="AU20">
        <v>0.5</v>
      </c>
      <c r="AV20" t="str">
        <f>""</f>
        <v/>
      </c>
      <c r="AW20" t="str">
        <f t="shared" ref="AW20:AW29" si="34">"08"</f>
        <v>08</v>
      </c>
      <c r="AX20" t="str">
        <f t="shared" ref="AX20:AX29" si="35">"専用"</f>
        <v>専用</v>
      </c>
      <c r="AY20" t="str">
        <f t="shared" ref="AY20:AY29" si="36">"01"</f>
        <v>01</v>
      </c>
      <c r="AZ20" t="str">
        <f t="shared" ref="AZ20:AZ29" si="37">"後補充"</f>
        <v>後補充</v>
      </c>
      <c r="BA20" t="str">
        <f>""</f>
        <v/>
      </c>
      <c r="BB20" t="str">
        <f t="shared" si="32"/>
        <v>ＴＰ３３１フタナシ</v>
      </c>
      <c r="BC20" t="str">
        <f t="shared" si="25"/>
        <v xml:space="preserve"> 335.000</v>
      </c>
      <c r="BD20" t="str">
        <f t="shared" si="25"/>
        <v xml:space="preserve"> 335.000</v>
      </c>
      <c r="BE20" t="str">
        <f t="shared" si="26"/>
        <v xml:space="preserve"> 103.000</v>
      </c>
      <c r="BF20" t="str">
        <f t="shared" si="33"/>
        <v xml:space="preserve">   0.012</v>
      </c>
      <c r="BG20" t="str">
        <f>"   9.710"</f>
        <v xml:space="preserve">   9.710</v>
      </c>
      <c r="BH20" t="str">
        <f t="shared" si="12"/>
        <v>しない</v>
      </c>
      <c r="BI20" t="str">
        <f>""</f>
        <v/>
      </c>
      <c r="BJ20" t="str">
        <f t="shared" si="13"/>
        <v>MASTER01</v>
      </c>
      <c r="BK20" t="str">
        <f t="shared" ref="BK20:BK29" si="38">"2022/04/19"</f>
        <v>2022/04/19</v>
      </c>
      <c r="BL20" t="str">
        <f t="shared" si="14"/>
        <v>NE00</v>
      </c>
      <c r="BM20" t="str">
        <f t="shared" si="15"/>
        <v>１工工務Ｇ</v>
      </c>
      <c r="BN20" t="str">
        <f t="shared" si="28"/>
        <v>46548</v>
      </c>
      <c r="BO20" t="str">
        <f t="shared" si="29"/>
        <v>長畑　玲奈</v>
      </c>
    </row>
    <row r="21" spans="1:67">
      <c r="A21" t="s">
        <v>128</v>
      </c>
      <c r="B21" t="str">
        <f>""</f>
        <v/>
      </c>
      <c r="C21" t="str">
        <f>""</f>
        <v/>
      </c>
      <c r="D21" t="s">
        <v>700</v>
      </c>
      <c r="E21" t="str">
        <f t="shared" si="0"/>
        <v>1Y</v>
      </c>
      <c r="F21" t="str">
        <f t="shared" si="1"/>
        <v>第１工場</v>
      </c>
      <c r="G21" t="str">
        <f t="shared" si="2"/>
        <v>手配</v>
      </c>
      <c r="H21" t="str">
        <f t="shared" si="3"/>
        <v>Ｐ</v>
      </c>
      <c r="I21" t="str">
        <f t="shared" si="20"/>
        <v>0024</v>
      </c>
      <c r="J21" t="str">
        <f t="shared" si="21"/>
        <v>（株）青山製作所</v>
      </c>
      <c r="K21" t="str">
        <f t="shared" si="22"/>
        <v>01</v>
      </c>
      <c r="L21" t="str">
        <f>""</f>
        <v/>
      </c>
      <c r="M21" t="str">
        <f t="shared" si="4"/>
        <v>――</v>
      </c>
      <c r="N21" t="str">
        <f t="shared" si="4"/>
        <v>――</v>
      </c>
      <c r="O21" t="str">
        <f t="shared" si="5"/>
        <v>Ｍ</v>
      </c>
      <c r="P21" t="str">
        <f t="shared" si="6"/>
        <v>01</v>
      </c>
      <c r="Q21" t="str">
        <f t="shared" si="7"/>
        <v>第１</v>
      </c>
      <c r="R21" t="str">
        <f t="shared" si="8"/>
        <v>1Y</v>
      </c>
      <c r="S21" t="str">
        <f t="shared" si="9"/>
        <v>安城第１工場</v>
      </c>
      <c r="T21" t="str">
        <f t="shared" si="10"/>
        <v>直接</v>
      </c>
      <c r="U21" t="str">
        <f>""</f>
        <v/>
      </c>
      <c r="V21" t="str">
        <f>""</f>
        <v/>
      </c>
      <c r="W21" t="str">
        <f>""</f>
        <v/>
      </c>
      <c r="X21">
        <v>1</v>
      </c>
      <c r="Y21">
        <v>6</v>
      </c>
      <c r="Z21">
        <v>5.76</v>
      </c>
      <c r="AA21">
        <v>0.95</v>
      </c>
      <c r="AB21">
        <v>3</v>
      </c>
      <c r="AC21">
        <v>0.95</v>
      </c>
      <c r="AD21">
        <v>0.95</v>
      </c>
      <c r="AE21">
        <v>1.1000000000000001</v>
      </c>
      <c r="AF21">
        <v>0.5</v>
      </c>
      <c r="AG21" t="str">
        <f t="shared" si="23"/>
        <v>006</v>
      </c>
      <c r="AH21" t="str">
        <f t="shared" si="24"/>
        <v>（株）青山製作所</v>
      </c>
      <c r="AI21" t="str">
        <f>"016"</f>
        <v>016</v>
      </c>
      <c r="AJ21" t="str">
        <f>"C4-1"</f>
        <v>C4-1</v>
      </c>
      <c r="AK21" t="str">
        <f>"20386"</f>
        <v>20386</v>
      </c>
      <c r="AL21" t="str">
        <f>"2386"</f>
        <v>2386</v>
      </c>
      <c r="AM21" t="str">
        <f>"ｽｸﾘｭｰW/ﾜｯｼｬｰ"</f>
        <v>ｽｸﾘｭｰW/ﾜｯｼｬｰ</v>
      </c>
      <c r="AN21" t="str">
        <f t="shared" si="30"/>
        <v>014</v>
      </c>
      <c r="AO21" t="str">
        <f t="shared" si="31"/>
        <v>TP-331 ﾊﾝﾖｳ</v>
      </c>
      <c r="AP21">
        <v>1500</v>
      </c>
      <c r="AQ21" t="str">
        <f>""</f>
        <v/>
      </c>
      <c r="AR21" t="str">
        <f>""</f>
        <v/>
      </c>
      <c r="AS21" t="str">
        <f>""</f>
        <v/>
      </c>
      <c r="AT21" t="str">
        <f t="shared" si="11"/>
        <v>00</v>
      </c>
      <c r="AU21">
        <v>0.5</v>
      </c>
      <c r="AV21" t="str">
        <f>""</f>
        <v/>
      </c>
      <c r="AW21" t="str">
        <f t="shared" si="34"/>
        <v>08</v>
      </c>
      <c r="AX21" t="str">
        <f t="shared" si="35"/>
        <v>専用</v>
      </c>
      <c r="AY21" t="str">
        <f t="shared" si="36"/>
        <v>01</v>
      </c>
      <c r="AZ21" t="str">
        <f t="shared" si="37"/>
        <v>後補充</v>
      </c>
      <c r="BA21" t="str">
        <f>""</f>
        <v/>
      </c>
      <c r="BB21" t="str">
        <f t="shared" si="32"/>
        <v>ＴＰ３３１フタナシ</v>
      </c>
      <c r="BC21" t="str">
        <f t="shared" si="25"/>
        <v xml:space="preserve"> 335.000</v>
      </c>
      <c r="BD21" t="str">
        <f t="shared" si="25"/>
        <v xml:space="preserve"> 335.000</v>
      </c>
      <c r="BE21" t="str">
        <f t="shared" si="26"/>
        <v xml:space="preserve"> 103.000</v>
      </c>
      <c r="BF21" t="str">
        <f t="shared" si="33"/>
        <v xml:space="preserve">   0.012</v>
      </c>
      <c r="BG21" t="str">
        <f>"  10.130"</f>
        <v xml:space="preserve">  10.130</v>
      </c>
      <c r="BH21" t="str">
        <f t="shared" si="12"/>
        <v>しない</v>
      </c>
      <c r="BI21" t="str">
        <f>""</f>
        <v/>
      </c>
      <c r="BJ21" t="str">
        <f t="shared" si="13"/>
        <v>MASTER01</v>
      </c>
      <c r="BK21" t="str">
        <f t="shared" si="38"/>
        <v>2022/04/19</v>
      </c>
      <c r="BL21" t="str">
        <f t="shared" si="14"/>
        <v>NE00</v>
      </c>
      <c r="BM21" t="str">
        <f t="shared" si="15"/>
        <v>１工工務Ｇ</v>
      </c>
      <c r="BN21" t="str">
        <f t="shared" si="28"/>
        <v>46548</v>
      </c>
      <c r="BO21" t="str">
        <f t="shared" si="29"/>
        <v>長畑　玲奈</v>
      </c>
    </row>
    <row r="22" spans="1:67">
      <c r="A22" t="s">
        <v>129</v>
      </c>
      <c r="B22" t="str">
        <f>""</f>
        <v/>
      </c>
      <c r="C22" t="str">
        <f>""</f>
        <v/>
      </c>
      <c r="D22" t="s">
        <v>14</v>
      </c>
      <c r="E22" t="str">
        <f t="shared" si="0"/>
        <v>1Y</v>
      </c>
      <c r="F22" t="str">
        <f t="shared" si="1"/>
        <v>第１工場</v>
      </c>
      <c r="G22" t="str">
        <f t="shared" si="2"/>
        <v>手配</v>
      </c>
      <c r="H22" t="str">
        <f t="shared" si="3"/>
        <v>Ｐ</v>
      </c>
      <c r="I22" t="str">
        <f t="shared" si="20"/>
        <v>0024</v>
      </c>
      <c r="J22" t="str">
        <f t="shared" si="21"/>
        <v>（株）青山製作所</v>
      </c>
      <c r="K22" t="str">
        <f t="shared" si="22"/>
        <v>01</v>
      </c>
      <c r="L22" t="str">
        <f>""</f>
        <v/>
      </c>
      <c r="M22" t="str">
        <f t="shared" ref="M22:N41" si="39">"――"</f>
        <v>――</v>
      </c>
      <c r="N22" t="str">
        <f t="shared" si="39"/>
        <v>――</v>
      </c>
      <c r="O22" t="str">
        <f t="shared" si="5"/>
        <v>Ｍ</v>
      </c>
      <c r="P22" t="str">
        <f t="shared" si="6"/>
        <v>01</v>
      </c>
      <c r="Q22" t="str">
        <f t="shared" si="7"/>
        <v>第１</v>
      </c>
      <c r="R22" t="str">
        <f t="shared" si="8"/>
        <v>1Y</v>
      </c>
      <c r="S22" t="str">
        <f t="shared" si="9"/>
        <v>安城第１工場</v>
      </c>
      <c r="T22" t="str">
        <f t="shared" si="10"/>
        <v>直接</v>
      </c>
      <c r="U22" t="str">
        <f>""</f>
        <v/>
      </c>
      <c r="V22" t="str">
        <f>""</f>
        <v/>
      </c>
      <c r="W22" t="str">
        <f>""</f>
        <v/>
      </c>
      <c r="X22">
        <v>1</v>
      </c>
      <c r="Y22">
        <v>6</v>
      </c>
      <c r="Z22">
        <v>5.76</v>
      </c>
      <c r="AA22">
        <v>0.95</v>
      </c>
      <c r="AB22">
        <v>3</v>
      </c>
      <c r="AC22">
        <v>0.95</v>
      </c>
      <c r="AD22">
        <v>0.95</v>
      </c>
      <c r="AE22">
        <v>1.1000000000000001</v>
      </c>
      <c r="AF22">
        <v>0.5</v>
      </c>
      <c r="AG22" t="str">
        <f t="shared" si="23"/>
        <v>006</v>
      </c>
      <c r="AH22" t="str">
        <f t="shared" si="24"/>
        <v>（株）青山製作所</v>
      </c>
      <c r="AI22" t="str">
        <f>"017"</f>
        <v>017</v>
      </c>
      <c r="AJ22" t="str">
        <f>"C3-1"</f>
        <v>C3-1</v>
      </c>
      <c r="AK22" t="str">
        <f>"20384"</f>
        <v>20384</v>
      </c>
      <c r="AL22" t="str">
        <f>"2386"</f>
        <v>2386</v>
      </c>
      <c r="AM22" t="str">
        <f>"ｽｸﾘｭｰW/ﾜｯｼｬｰ"</f>
        <v>ｽｸﾘｭｰW/ﾜｯｼｬｰ</v>
      </c>
      <c r="AN22" t="str">
        <f t="shared" si="30"/>
        <v>014</v>
      </c>
      <c r="AO22" t="str">
        <f t="shared" si="31"/>
        <v>TP-331 ﾊﾝﾖｳ</v>
      </c>
      <c r="AP22">
        <v>1300</v>
      </c>
      <c r="AQ22" t="str">
        <f>""</f>
        <v/>
      </c>
      <c r="AR22" t="str">
        <f>""</f>
        <v/>
      </c>
      <c r="AS22" t="str">
        <f>""</f>
        <v/>
      </c>
      <c r="AT22" t="str">
        <f t="shared" si="11"/>
        <v>00</v>
      </c>
      <c r="AU22">
        <v>0.5</v>
      </c>
      <c r="AV22" t="str">
        <f>""</f>
        <v/>
      </c>
      <c r="AW22" t="str">
        <f t="shared" si="34"/>
        <v>08</v>
      </c>
      <c r="AX22" t="str">
        <f t="shared" si="35"/>
        <v>専用</v>
      </c>
      <c r="AY22" t="str">
        <f t="shared" si="36"/>
        <v>01</v>
      </c>
      <c r="AZ22" t="str">
        <f t="shared" si="37"/>
        <v>後補充</v>
      </c>
      <c r="BA22" t="str">
        <f>""</f>
        <v/>
      </c>
      <c r="BB22" t="str">
        <f t="shared" si="32"/>
        <v>ＴＰ３３１フタナシ</v>
      </c>
      <c r="BC22" t="str">
        <f t="shared" si="25"/>
        <v xml:space="preserve"> 335.000</v>
      </c>
      <c r="BD22" t="str">
        <f t="shared" si="25"/>
        <v xml:space="preserve"> 335.000</v>
      </c>
      <c r="BE22" t="str">
        <f t="shared" si="26"/>
        <v xml:space="preserve"> 103.000</v>
      </c>
      <c r="BF22" t="str">
        <f t="shared" si="33"/>
        <v xml:space="preserve">   0.012</v>
      </c>
      <c r="BG22" t="str">
        <f>"   9.670"</f>
        <v xml:space="preserve">   9.670</v>
      </c>
      <c r="BH22" t="str">
        <f t="shared" si="12"/>
        <v>しない</v>
      </c>
      <c r="BI22" t="str">
        <f>""</f>
        <v/>
      </c>
      <c r="BJ22" t="str">
        <f t="shared" si="13"/>
        <v>MASTER01</v>
      </c>
      <c r="BK22" t="str">
        <f t="shared" si="38"/>
        <v>2022/04/19</v>
      </c>
      <c r="BL22" t="str">
        <f t="shared" si="14"/>
        <v>NE00</v>
      </c>
      <c r="BM22" t="str">
        <f t="shared" si="15"/>
        <v>１工工務Ｇ</v>
      </c>
      <c r="BN22" t="str">
        <f t="shared" si="28"/>
        <v>46548</v>
      </c>
      <c r="BO22" t="str">
        <f t="shared" si="29"/>
        <v>長畑　玲奈</v>
      </c>
    </row>
    <row r="23" spans="1:67">
      <c r="A23" t="s">
        <v>130</v>
      </c>
      <c r="B23" t="str">
        <f>""</f>
        <v/>
      </c>
      <c r="C23" t="str">
        <f>""</f>
        <v/>
      </c>
      <c r="D23" t="s">
        <v>8</v>
      </c>
      <c r="E23" t="str">
        <f t="shared" si="0"/>
        <v>1Y</v>
      </c>
      <c r="F23" t="str">
        <f t="shared" si="1"/>
        <v>第１工場</v>
      </c>
      <c r="G23" t="str">
        <f t="shared" si="2"/>
        <v>手配</v>
      </c>
      <c r="H23" t="str">
        <f t="shared" si="3"/>
        <v>Ｐ</v>
      </c>
      <c r="I23" t="str">
        <f t="shared" si="20"/>
        <v>0024</v>
      </c>
      <c r="J23" t="str">
        <f t="shared" si="21"/>
        <v>（株）青山製作所</v>
      </c>
      <c r="K23" t="str">
        <f t="shared" si="22"/>
        <v>01</v>
      </c>
      <c r="L23" t="str">
        <f>""</f>
        <v/>
      </c>
      <c r="M23" t="str">
        <f t="shared" si="39"/>
        <v>――</v>
      </c>
      <c r="N23" t="str">
        <f t="shared" si="39"/>
        <v>――</v>
      </c>
      <c r="O23" t="str">
        <f t="shared" si="5"/>
        <v>Ｍ</v>
      </c>
      <c r="P23" t="str">
        <f t="shared" si="6"/>
        <v>01</v>
      </c>
      <c r="Q23" t="str">
        <f t="shared" si="7"/>
        <v>第１</v>
      </c>
      <c r="R23" t="str">
        <f t="shared" si="8"/>
        <v>1Y</v>
      </c>
      <c r="S23" t="str">
        <f t="shared" si="9"/>
        <v>安城第１工場</v>
      </c>
      <c r="T23" t="str">
        <f t="shared" si="10"/>
        <v>直接</v>
      </c>
      <c r="U23" t="str">
        <f>""</f>
        <v/>
      </c>
      <c r="V23" t="str">
        <f>""</f>
        <v/>
      </c>
      <c r="W23" t="str">
        <f>""</f>
        <v/>
      </c>
      <c r="X23">
        <v>1</v>
      </c>
      <c r="Y23">
        <v>6</v>
      </c>
      <c r="Z23">
        <v>5.76</v>
      </c>
      <c r="AA23">
        <v>0.95</v>
      </c>
      <c r="AB23">
        <v>3</v>
      </c>
      <c r="AC23">
        <v>0.95</v>
      </c>
      <c r="AD23">
        <v>0.95</v>
      </c>
      <c r="AE23">
        <v>1.1000000000000001</v>
      </c>
      <c r="AF23">
        <v>0.5</v>
      </c>
      <c r="AG23" t="str">
        <f t="shared" si="23"/>
        <v>006</v>
      </c>
      <c r="AH23" t="str">
        <f t="shared" si="24"/>
        <v>（株）青山製作所</v>
      </c>
      <c r="AI23" t="str">
        <f>"018"</f>
        <v>018</v>
      </c>
      <c r="AJ23" t="str">
        <f>"R-6-2"</f>
        <v>R-6-2</v>
      </c>
      <c r="AK23" t="str">
        <f>"20371"</f>
        <v>20371</v>
      </c>
      <c r="AL23" t="str">
        <f>"0521"</f>
        <v>0521</v>
      </c>
      <c r="AM23" t="str">
        <f>"ﾌﾟﾗｸﾞｳｲｽﾞﾍﾂﾄﾞｽﾄﾚ-ﾄｽｸﾘﾕ-"</f>
        <v>ﾌﾟﾗｸﾞｳｲｽﾞﾍﾂﾄﾞｽﾄﾚ-ﾄｽｸﾘﾕ-</v>
      </c>
      <c r="AN23" t="str">
        <f t="shared" si="30"/>
        <v>014</v>
      </c>
      <c r="AO23" t="str">
        <f t="shared" si="31"/>
        <v>TP-331 ﾊﾝﾖｳ</v>
      </c>
      <c r="AP23">
        <v>500</v>
      </c>
      <c r="AQ23" t="str">
        <f>""</f>
        <v/>
      </c>
      <c r="AR23" t="str">
        <f>""</f>
        <v/>
      </c>
      <c r="AS23" t="str">
        <f>""</f>
        <v/>
      </c>
      <c r="AT23" t="str">
        <f t="shared" si="11"/>
        <v>00</v>
      </c>
      <c r="AU23">
        <v>0.5</v>
      </c>
      <c r="AV23" t="str">
        <f>""</f>
        <v/>
      </c>
      <c r="AW23" t="str">
        <f t="shared" si="34"/>
        <v>08</v>
      </c>
      <c r="AX23" t="str">
        <f t="shared" si="35"/>
        <v>専用</v>
      </c>
      <c r="AY23" t="str">
        <f t="shared" si="36"/>
        <v>01</v>
      </c>
      <c r="AZ23" t="str">
        <f t="shared" si="37"/>
        <v>後補充</v>
      </c>
      <c r="BA23" t="str">
        <f>""</f>
        <v/>
      </c>
      <c r="BB23" t="str">
        <f t="shared" si="32"/>
        <v>ＴＰ３３１フタナシ</v>
      </c>
      <c r="BC23" t="str">
        <f t="shared" si="25"/>
        <v xml:space="preserve"> 335.000</v>
      </c>
      <c r="BD23" t="str">
        <f t="shared" si="25"/>
        <v xml:space="preserve"> 335.000</v>
      </c>
      <c r="BE23" t="str">
        <f t="shared" si="26"/>
        <v xml:space="preserve"> 103.000</v>
      </c>
      <c r="BF23" t="str">
        <f t="shared" si="33"/>
        <v xml:space="preserve">   0.012</v>
      </c>
      <c r="BG23" t="str">
        <f>"  11.330"</f>
        <v xml:space="preserve">  11.330</v>
      </c>
      <c r="BH23" t="str">
        <f t="shared" si="12"/>
        <v>しない</v>
      </c>
      <c r="BI23" t="str">
        <f>""</f>
        <v/>
      </c>
      <c r="BJ23" t="str">
        <f t="shared" si="13"/>
        <v>MASTER01</v>
      </c>
      <c r="BK23" t="str">
        <f t="shared" si="38"/>
        <v>2022/04/19</v>
      </c>
      <c r="BL23" t="str">
        <f t="shared" si="14"/>
        <v>NE00</v>
      </c>
      <c r="BM23" t="str">
        <f t="shared" si="15"/>
        <v>１工工務Ｇ</v>
      </c>
      <c r="BN23" t="str">
        <f t="shared" si="28"/>
        <v>46548</v>
      </c>
      <c r="BO23" t="str">
        <f t="shared" si="29"/>
        <v>長畑　玲奈</v>
      </c>
    </row>
    <row r="24" spans="1:67">
      <c r="A24" t="s">
        <v>131</v>
      </c>
      <c r="B24" t="str">
        <f>""</f>
        <v/>
      </c>
      <c r="C24" t="str">
        <f>""</f>
        <v/>
      </c>
      <c r="D24" t="s">
        <v>8</v>
      </c>
      <c r="E24" t="str">
        <f t="shared" si="0"/>
        <v>1Y</v>
      </c>
      <c r="F24" t="str">
        <f t="shared" si="1"/>
        <v>第１工場</v>
      </c>
      <c r="G24" t="str">
        <f t="shared" si="2"/>
        <v>手配</v>
      </c>
      <c r="H24" t="str">
        <f t="shared" si="3"/>
        <v>Ｐ</v>
      </c>
      <c r="I24" t="str">
        <f t="shared" si="20"/>
        <v>0024</v>
      </c>
      <c r="J24" t="str">
        <f t="shared" si="21"/>
        <v>（株）青山製作所</v>
      </c>
      <c r="K24" t="str">
        <f t="shared" si="22"/>
        <v>01</v>
      </c>
      <c r="L24" t="str">
        <f>""</f>
        <v/>
      </c>
      <c r="M24" t="str">
        <f t="shared" si="39"/>
        <v>――</v>
      </c>
      <c r="N24" t="str">
        <f t="shared" si="39"/>
        <v>――</v>
      </c>
      <c r="O24" t="str">
        <f t="shared" si="5"/>
        <v>Ｍ</v>
      </c>
      <c r="P24" t="str">
        <f t="shared" si="6"/>
        <v>01</v>
      </c>
      <c r="Q24" t="str">
        <f t="shared" si="7"/>
        <v>第１</v>
      </c>
      <c r="R24" t="str">
        <f t="shared" si="8"/>
        <v>1Y</v>
      </c>
      <c r="S24" t="str">
        <f t="shared" si="9"/>
        <v>安城第１工場</v>
      </c>
      <c r="T24" t="str">
        <f t="shared" si="10"/>
        <v>直接</v>
      </c>
      <c r="U24" t="str">
        <f>""</f>
        <v/>
      </c>
      <c r="V24" t="str">
        <f>""</f>
        <v/>
      </c>
      <c r="W24" t="str">
        <f>""</f>
        <v/>
      </c>
      <c r="X24">
        <v>1</v>
      </c>
      <c r="Y24">
        <v>6</v>
      </c>
      <c r="Z24">
        <v>5.76</v>
      </c>
      <c r="AA24">
        <v>0.95</v>
      </c>
      <c r="AB24">
        <v>3</v>
      </c>
      <c r="AC24">
        <v>0.95</v>
      </c>
      <c r="AD24">
        <v>0.95</v>
      </c>
      <c r="AE24">
        <v>1.1000000000000001</v>
      </c>
      <c r="AF24">
        <v>0.5</v>
      </c>
      <c r="AG24" t="str">
        <f t="shared" si="23"/>
        <v>006</v>
      </c>
      <c r="AH24" t="str">
        <f t="shared" si="24"/>
        <v>（株）青山製作所</v>
      </c>
      <c r="AI24" t="str">
        <f>"026"</f>
        <v>026</v>
      </c>
      <c r="AJ24" t="str">
        <f>"R-2-1"</f>
        <v>R-2-1</v>
      </c>
      <c r="AK24" t="str">
        <f>"10374"</f>
        <v>10374</v>
      </c>
      <c r="AL24" t="str">
        <f>"0526"</f>
        <v>0526</v>
      </c>
      <c r="AM24" t="str">
        <f>"ﾌﾟﾗｸﾞS/AW/ﾍｯﾄﾞｽﾄﾚｰﾄｽｸﾘｭｰ"</f>
        <v>ﾌﾟﾗｸﾞS/AW/ﾍｯﾄﾞｽﾄﾚｰﾄｽｸﾘｭｰ</v>
      </c>
      <c r="AN24" t="str">
        <f>"012"</f>
        <v>012</v>
      </c>
      <c r="AO24" t="str">
        <f>"TP-131 ﾊﾝﾖｳ"</f>
        <v>TP-131 ﾊﾝﾖｳ</v>
      </c>
      <c r="AP24">
        <v>200</v>
      </c>
      <c r="AQ24" t="str">
        <f>""</f>
        <v/>
      </c>
      <c r="AR24" t="str">
        <f>""</f>
        <v/>
      </c>
      <c r="AS24" t="str">
        <f>""</f>
        <v/>
      </c>
      <c r="AT24" t="str">
        <f t="shared" si="11"/>
        <v>00</v>
      </c>
      <c r="AU24">
        <v>0.5</v>
      </c>
      <c r="AV24" t="str">
        <f>""</f>
        <v/>
      </c>
      <c r="AW24" t="str">
        <f t="shared" si="34"/>
        <v>08</v>
      </c>
      <c r="AX24" t="str">
        <f t="shared" si="35"/>
        <v>専用</v>
      </c>
      <c r="AY24" t="str">
        <f t="shared" si="36"/>
        <v>01</v>
      </c>
      <c r="AZ24" t="str">
        <f t="shared" si="37"/>
        <v>後補充</v>
      </c>
      <c r="BA24" t="str">
        <f>""</f>
        <v/>
      </c>
      <c r="BB24" t="str">
        <f>"ＴＰ１３１フタナシ"</f>
        <v>ＴＰ１３１フタナシ</v>
      </c>
      <c r="BC24" t="str">
        <f t="shared" si="25"/>
        <v xml:space="preserve"> 335.000</v>
      </c>
      <c r="BD24" t="str">
        <f>" 168.000"</f>
        <v xml:space="preserve"> 168.000</v>
      </c>
      <c r="BE24" t="str">
        <f t="shared" si="26"/>
        <v xml:space="preserve"> 103.000</v>
      </c>
      <c r="BF24" t="str">
        <f>"   0.006"</f>
        <v xml:space="preserve">   0.006</v>
      </c>
      <c r="BG24" t="str">
        <f>"   6.270"</f>
        <v xml:space="preserve">   6.270</v>
      </c>
      <c r="BH24" t="str">
        <f t="shared" si="12"/>
        <v>しない</v>
      </c>
      <c r="BI24" t="str">
        <f>""</f>
        <v/>
      </c>
      <c r="BJ24" t="str">
        <f t="shared" si="13"/>
        <v>MASTER01</v>
      </c>
      <c r="BK24" t="str">
        <f t="shared" si="38"/>
        <v>2022/04/19</v>
      </c>
      <c r="BL24" t="str">
        <f t="shared" si="14"/>
        <v>NE00</v>
      </c>
      <c r="BM24" t="str">
        <f t="shared" si="15"/>
        <v>１工工務Ｇ</v>
      </c>
      <c r="BN24" t="str">
        <f t="shared" si="28"/>
        <v>46548</v>
      </c>
      <c r="BO24" t="str">
        <f t="shared" si="29"/>
        <v>長畑　玲奈</v>
      </c>
    </row>
    <row r="25" spans="1:67">
      <c r="A25">
        <v>9093003179</v>
      </c>
      <c r="B25" t="str">
        <f>""</f>
        <v/>
      </c>
      <c r="C25" t="str">
        <f>""</f>
        <v/>
      </c>
      <c r="D25" t="s">
        <v>15</v>
      </c>
      <c r="E25" t="str">
        <f t="shared" si="0"/>
        <v>1Y</v>
      </c>
      <c r="F25" t="str">
        <f t="shared" si="1"/>
        <v>第１工場</v>
      </c>
      <c r="G25" t="str">
        <f t="shared" si="2"/>
        <v>手配</v>
      </c>
      <c r="H25" t="str">
        <f t="shared" si="3"/>
        <v>Ｐ</v>
      </c>
      <c r="I25" t="str">
        <f t="shared" si="20"/>
        <v>0024</v>
      </c>
      <c r="J25" t="str">
        <f t="shared" si="21"/>
        <v>（株）青山製作所</v>
      </c>
      <c r="K25" t="str">
        <f t="shared" si="22"/>
        <v>01</v>
      </c>
      <c r="L25" t="str">
        <f>""</f>
        <v/>
      </c>
      <c r="M25" t="str">
        <f t="shared" si="39"/>
        <v>――</v>
      </c>
      <c r="N25" t="str">
        <f t="shared" si="39"/>
        <v>――</v>
      </c>
      <c r="O25" t="str">
        <f t="shared" si="5"/>
        <v>Ｍ</v>
      </c>
      <c r="P25" t="str">
        <f t="shared" si="6"/>
        <v>01</v>
      </c>
      <c r="Q25" t="str">
        <f t="shared" si="7"/>
        <v>第１</v>
      </c>
      <c r="R25" t="str">
        <f t="shared" si="8"/>
        <v>1Y</v>
      </c>
      <c r="S25" t="str">
        <f t="shared" si="9"/>
        <v>安城第１工場</v>
      </c>
      <c r="T25" t="str">
        <f t="shared" si="10"/>
        <v>直接</v>
      </c>
      <c r="U25" t="str">
        <f>""</f>
        <v/>
      </c>
      <c r="V25" t="str">
        <f>""</f>
        <v/>
      </c>
      <c r="W25" t="str">
        <f>""</f>
        <v/>
      </c>
      <c r="X25">
        <v>1</v>
      </c>
      <c r="Y25">
        <v>6</v>
      </c>
      <c r="Z25">
        <v>5.76</v>
      </c>
      <c r="AA25">
        <v>0.95</v>
      </c>
      <c r="AB25">
        <v>3</v>
      </c>
      <c r="AC25">
        <v>0.95</v>
      </c>
      <c r="AD25">
        <v>0.95</v>
      </c>
      <c r="AE25">
        <v>1.1000000000000001</v>
      </c>
      <c r="AF25">
        <v>0.5</v>
      </c>
      <c r="AG25" t="str">
        <f t="shared" si="23"/>
        <v>006</v>
      </c>
      <c r="AH25" t="str">
        <f t="shared" si="24"/>
        <v>（株）青山製作所</v>
      </c>
      <c r="AI25" t="str">
        <f>"019"</f>
        <v>019</v>
      </c>
      <c r="AJ25" t="str">
        <f>"F1-3"</f>
        <v>F1-3</v>
      </c>
      <c r="AK25" t="str">
        <f>"20390"</f>
        <v>20390</v>
      </c>
      <c r="AL25" t="str">
        <f>"0522"</f>
        <v>0522</v>
      </c>
      <c r="AM25" t="str">
        <f>"ﾌﾟﾗｸﾞﾌﾞﾘ-ｻﾞ-"</f>
        <v>ﾌﾟﾗｸﾞﾌﾞﾘ-ｻﾞ-</v>
      </c>
      <c r="AN25" t="str">
        <f t="shared" ref="AN25:AN32" si="40">"014"</f>
        <v>014</v>
      </c>
      <c r="AO25" t="str">
        <f t="shared" ref="AO25:AO32" si="41">"TP-331 ﾊﾝﾖｳ"</f>
        <v>TP-331 ﾊﾝﾖｳ</v>
      </c>
      <c r="AP25">
        <v>500</v>
      </c>
      <c r="AQ25" t="str">
        <f>""</f>
        <v/>
      </c>
      <c r="AR25" t="str">
        <f>""</f>
        <v/>
      </c>
      <c r="AS25" t="str">
        <f>""</f>
        <v/>
      </c>
      <c r="AT25" t="str">
        <f t="shared" si="11"/>
        <v>00</v>
      </c>
      <c r="AU25">
        <v>0.5</v>
      </c>
      <c r="AV25" t="str">
        <f>""</f>
        <v/>
      </c>
      <c r="AW25" t="str">
        <f t="shared" si="34"/>
        <v>08</v>
      </c>
      <c r="AX25" t="str">
        <f t="shared" si="35"/>
        <v>専用</v>
      </c>
      <c r="AY25" t="str">
        <f t="shared" si="36"/>
        <v>01</v>
      </c>
      <c r="AZ25" t="str">
        <f t="shared" si="37"/>
        <v>後補充</v>
      </c>
      <c r="BA25" t="str">
        <f>""</f>
        <v/>
      </c>
      <c r="BB25" t="str">
        <f t="shared" ref="BB25:BB33" si="42">"ＴＰ３３１フタナシ"</f>
        <v>ＴＰ３３１フタナシ</v>
      </c>
      <c r="BC25" t="str">
        <f t="shared" si="25"/>
        <v xml:space="preserve"> 335.000</v>
      </c>
      <c r="BD25" t="str">
        <f t="shared" si="25"/>
        <v xml:space="preserve"> 335.000</v>
      </c>
      <c r="BE25" t="str">
        <f t="shared" si="26"/>
        <v xml:space="preserve"> 103.000</v>
      </c>
      <c r="BF25" t="str">
        <f t="shared" ref="BF25:BF33" si="43">"   0.012"</f>
        <v xml:space="preserve">   0.012</v>
      </c>
      <c r="BG25" t="str">
        <f>"   9.180"</f>
        <v xml:space="preserve">   9.180</v>
      </c>
      <c r="BH25" t="str">
        <f t="shared" si="12"/>
        <v>しない</v>
      </c>
      <c r="BI25" t="str">
        <f>""</f>
        <v/>
      </c>
      <c r="BJ25" t="str">
        <f t="shared" si="13"/>
        <v>MASTER01</v>
      </c>
      <c r="BK25" t="str">
        <f t="shared" si="38"/>
        <v>2022/04/19</v>
      </c>
      <c r="BL25" t="str">
        <f t="shared" si="14"/>
        <v>NE00</v>
      </c>
      <c r="BM25" t="str">
        <f t="shared" si="15"/>
        <v>１工工務Ｇ</v>
      </c>
      <c r="BN25" t="str">
        <f t="shared" si="28"/>
        <v>46548</v>
      </c>
      <c r="BO25" t="str">
        <f t="shared" si="29"/>
        <v>長畑　玲奈</v>
      </c>
    </row>
    <row r="26" spans="1:67">
      <c r="A26">
        <v>9155180614</v>
      </c>
      <c r="B26" t="str">
        <f>""</f>
        <v/>
      </c>
      <c r="C26" t="str">
        <f>""</f>
        <v/>
      </c>
      <c r="D26" t="s">
        <v>9</v>
      </c>
      <c r="E26" t="str">
        <f t="shared" si="0"/>
        <v>1Y</v>
      </c>
      <c r="F26" t="str">
        <f t="shared" si="1"/>
        <v>第１工場</v>
      </c>
      <c r="G26" t="str">
        <f t="shared" si="2"/>
        <v>手配</v>
      </c>
      <c r="H26" t="str">
        <f t="shared" si="3"/>
        <v>Ｐ</v>
      </c>
      <c r="I26" t="str">
        <f t="shared" si="20"/>
        <v>0024</v>
      </c>
      <c r="J26" t="str">
        <f t="shared" si="21"/>
        <v>（株）青山製作所</v>
      </c>
      <c r="K26" t="str">
        <f t="shared" si="22"/>
        <v>01</v>
      </c>
      <c r="L26" t="str">
        <f>""</f>
        <v/>
      </c>
      <c r="M26" t="str">
        <f t="shared" si="39"/>
        <v>――</v>
      </c>
      <c r="N26" t="str">
        <f t="shared" si="39"/>
        <v>――</v>
      </c>
      <c r="O26" t="str">
        <f t="shared" si="5"/>
        <v>Ｍ</v>
      </c>
      <c r="P26" t="str">
        <f t="shared" si="6"/>
        <v>01</v>
      </c>
      <c r="Q26" t="str">
        <f t="shared" si="7"/>
        <v>第１</v>
      </c>
      <c r="R26" t="str">
        <f t="shared" si="8"/>
        <v>1Y</v>
      </c>
      <c r="S26" t="str">
        <f t="shared" si="9"/>
        <v>安城第１工場</v>
      </c>
      <c r="T26" t="str">
        <f t="shared" si="10"/>
        <v>直接</v>
      </c>
      <c r="U26" t="str">
        <f>""</f>
        <v/>
      </c>
      <c r="V26" t="str">
        <f>""</f>
        <v/>
      </c>
      <c r="W26" t="str">
        <f>""</f>
        <v/>
      </c>
      <c r="X26">
        <v>1</v>
      </c>
      <c r="Y26">
        <v>6</v>
      </c>
      <c r="Z26">
        <v>5.76</v>
      </c>
      <c r="AA26">
        <v>0.95</v>
      </c>
      <c r="AB26">
        <v>3</v>
      </c>
      <c r="AC26">
        <v>0.95</v>
      </c>
      <c r="AD26">
        <v>0.95</v>
      </c>
      <c r="AE26">
        <v>1.1000000000000001</v>
      </c>
      <c r="AF26">
        <v>0.5</v>
      </c>
      <c r="AG26" t="str">
        <f t="shared" si="23"/>
        <v>006</v>
      </c>
      <c r="AH26" t="str">
        <f t="shared" si="24"/>
        <v>（株）青山製作所</v>
      </c>
      <c r="AI26" t="str">
        <f>"020"</f>
        <v>020</v>
      </c>
      <c r="AJ26" t="str">
        <f>"M-MG-3"</f>
        <v>M-MG-3</v>
      </c>
      <c r="AK26" t="str">
        <f>"20377"</f>
        <v>20377</v>
      </c>
      <c r="AL26" t="str">
        <f>"1836"</f>
        <v>1836</v>
      </c>
      <c r="AM26" t="str">
        <f>"ﾎﾞﾙﾄﾌﾗﾝｼﾞ"</f>
        <v>ﾎﾞﾙﾄﾌﾗﾝｼﾞ</v>
      </c>
      <c r="AN26" t="str">
        <f t="shared" si="40"/>
        <v>014</v>
      </c>
      <c r="AO26" t="str">
        <f t="shared" si="41"/>
        <v>TP-331 ﾊﾝﾖｳ</v>
      </c>
      <c r="AP26">
        <v>1500</v>
      </c>
      <c r="AQ26" t="str">
        <f>""</f>
        <v/>
      </c>
      <c r="AR26" t="str">
        <f>""</f>
        <v/>
      </c>
      <c r="AS26" t="str">
        <f>""</f>
        <v/>
      </c>
      <c r="AT26" t="str">
        <f t="shared" si="11"/>
        <v>00</v>
      </c>
      <c r="AU26">
        <v>0.5</v>
      </c>
      <c r="AV26" t="str">
        <f>""</f>
        <v/>
      </c>
      <c r="AW26" t="str">
        <f t="shared" si="34"/>
        <v>08</v>
      </c>
      <c r="AX26" t="str">
        <f t="shared" si="35"/>
        <v>専用</v>
      </c>
      <c r="AY26" t="str">
        <f t="shared" si="36"/>
        <v>01</v>
      </c>
      <c r="AZ26" t="str">
        <f t="shared" si="37"/>
        <v>後補充</v>
      </c>
      <c r="BA26" t="str">
        <f>""</f>
        <v/>
      </c>
      <c r="BB26" t="str">
        <f t="shared" si="42"/>
        <v>ＴＰ３３１フタナシ</v>
      </c>
      <c r="BC26" t="str">
        <f t="shared" si="25"/>
        <v xml:space="preserve"> 335.000</v>
      </c>
      <c r="BD26" t="str">
        <f t="shared" si="25"/>
        <v xml:space="preserve"> 335.000</v>
      </c>
      <c r="BE26" t="str">
        <f t="shared" si="26"/>
        <v xml:space="preserve"> 103.000</v>
      </c>
      <c r="BF26" t="str">
        <f t="shared" si="43"/>
        <v xml:space="preserve">   0.012</v>
      </c>
      <c r="BG26" t="str">
        <f>"  10.130"</f>
        <v xml:space="preserve">  10.130</v>
      </c>
      <c r="BH26" t="str">
        <f t="shared" si="12"/>
        <v>しない</v>
      </c>
      <c r="BI26" t="str">
        <f>""</f>
        <v/>
      </c>
      <c r="BJ26" t="str">
        <f t="shared" si="13"/>
        <v>MASTER01</v>
      </c>
      <c r="BK26" t="str">
        <f t="shared" si="38"/>
        <v>2022/04/19</v>
      </c>
      <c r="BL26" t="str">
        <f t="shared" si="14"/>
        <v>NE00</v>
      </c>
      <c r="BM26" t="str">
        <f t="shared" si="15"/>
        <v>１工工務Ｇ</v>
      </c>
      <c r="BN26" t="str">
        <f t="shared" si="28"/>
        <v>46548</v>
      </c>
      <c r="BO26" t="str">
        <f t="shared" si="29"/>
        <v>長畑　玲奈</v>
      </c>
    </row>
    <row r="27" spans="1:67">
      <c r="A27">
        <v>9155180640</v>
      </c>
      <c r="B27" t="str">
        <f>""</f>
        <v/>
      </c>
      <c r="C27" t="str">
        <f>""</f>
        <v/>
      </c>
      <c r="D27" t="s">
        <v>9</v>
      </c>
      <c r="E27" t="str">
        <f t="shared" si="0"/>
        <v>1Y</v>
      </c>
      <c r="F27" t="str">
        <f t="shared" si="1"/>
        <v>第１工場</v>
      </c>
      <c r="G27" t="str">
        <f t="shared" si="2"/>
        <v>手配</v>
      </c>
      <c r="H27" t="str">
        <f t="shared" si="3"/>
        <v>Ｐ</v>
      </c>
      <c r="I27" t="str">
        <f t="shared" si="20"/>
        <v>0024</v>
      </c>
      <c r="J27" t="str">
        <f t="shared" si="21"/>
        <v>（株）青山製作所</v>
      </c>
      <c r="K27" t="str">
        <f t="shared" si="22"/>
        <v>01</v>
      </c>
      <c r="L27" t="str">
        <f>""</f>
        <v/>
      </c>
      <c r="M27" t="str">
        <f t="shared" si="39"/>
        <v>――</v>
      </c>
      <c r="N27" t="str">
        <f t="shared" si="39"/>
        <v>――</v>
      </c>
      <c r="O27" t="str">
        <f t="shared" si="5"/>
        <v>Ｍ</v>
      </c>
      <c r="P27" t="str">
        <f t="shared" si="6"/>
        <v>01</v>
      </c>
      <c r="Q27" t="str">
        <f t="shared" si="7"/>
        <v>第１</v>
      </c>
      <c r="R27" t="str">
        <f t="shared" si="8"/>
        <v>1Y</v>
      </c>
      <c r="S27" t="str">
        <f t="shared" si="9"/>
        <v>安城第１工場</v>
      </c>
      <c r="T27" t="str">
        <f t="shared" si="10"/>
        <v>直接</v>
      </c>
      <c r="U27" t="str">
        <f>""</f>
        <v/>
      </c>
      <c r="V27" t="str">
        <f>""</f>
        <v/>
      </c>
      <c r="W27" t="str">
        <f>""</f>
        <v/>
      </c>
      <c r="X27">
        <v>1</v>
      </c>
      <c r="Y27">
        <v>6</v>
      </c>
      <c r="Z27">
        <v>5.76</v>
      </c>
      <c r="AA27">
        <v>0.95</v>
      </c>
      <c r="AB27">
        <v>3</v>
      </c>
      <c r="AC27">
        <v>0.95</v>
      </c>
      <c r="AD27">
        <v>0.95</v>
      </c>
      <c r="AE27">
        <v>1.1000000000000001</v>
      </c>
      <c r="AF27">
        <v>0.5</v>
      </c>
      <c r="AG27" t="str">
        <f t="shared" si="23"/>
        <v>006</v>
      </c>
      <c r="AH27" t="str">
        <f t="shared" si="24"/>
        <v>（株）青山製作所</v>
      </c>
      <c r="AI27" t="str">
        <f>"021"</f>
        <v>021</v>
      </c>
      <c r="AJ27" t="str">
        <f>"M-MG-7"</f>
        <v>M-MG-7</v>
      </c>
      <c r="AK27" t="str">
        <f>"20381"</f>
        <v>20381</v>
      </c>
      <c r="AL27" t="str">
        <f>"1836"</f>
        <v>1836</v>
      </c>
      <c r="AM27" t="str">
        <f>"ﾎﾞﾙﾄﾌﾗﾝｼﾞ"</f>
        <v>ﾎﾞﾙﾄﾌﾗﾝｼﾞ</v>
      </c>
      <c r="AN27" t="str">
        <f t="shared" si="40"/>
        <v>014</v>
      </c>
      <c r="AO27" t="str">
        <f t="shared" si="41"/>
        <v>TP-331 ﾊﾝﾖｳ</v>
      </c>
      <c r="AP27">
        <v>1000</v>
      </c>
      <c r="AQ27" t="str">
        <f>""</f>
        <v/>
      </c>
      <c r="AR27" t="str">
        <f>""</f>
        <v/>
      </c>
      <c r="AS27" t="str">
        <f>""</f>
        <v/>
      </c>
      <c r="AT27" t="str">
        <f t="shared" si="11"/>
        <v>00</v>
      </c>
      <c r="AU27">
        <v>0.5</v>
      </c>
      <c r="AV27" t="str">
        <f>""</f>
        <v/>
      </c>
      <c r="AW27" t="str">
        <f t="shared" si="34"/>
        <v>08</v>
      </c>
      <c r="AX27" t="str">
        <f t="shared" si="35"/>
        <v>専用</v>
      </c>
      <c r="AY27" t="str">
        <f t="shared" si="36"/>
        <v>01</v>
      </c>
      <c r="AZ27" t="str">
        <f t="shared" si="37"/>
        <v>後補充</v>
      </c>
      <c r="BA27" t="str">
        <f>""</f>
        <v/>
      </c>
      <c r="BB27" t="str">
        <f t="shared" si="42"/>
        <v>ＴＰ３３１フタナシ</v>
      </c>
      <c r="BC27" t="str">
        <f t="shared" si="25"/>
        <v xml:space="preserve"> 335.000</v>
      </c>
      <c r="BD27" t="str">
        <f t="shared" si="25"/>
        <v xml:space="preserve"> 335.000</v>
      </c>
      <c r="BE27" t="str">
        <f t="shared" si="26"/>
        <v xml:space="preserve"> 103.000</v>
      </c>
      <c r="BF27" t="str">
        <f t="shared" si="43"/>
        <v xml:space="preserve">   0.012</v>
      </c>
      <c r="BG27" t="str">
        <f>"  11.530"</f>
        <v xml:space="preserve">  11.530</v>
      </c>
      <c r="BH27" t="str">
        <f t="shared" si="12"/>
        <v>しない</v>
      </c>
      <c r="BI27" t="str">
        <f>""</f>
        <v/>
      </c>
      <c r="BJ27" t="str">
        <f t="shared" si="13"/>
        <v>MASTER01</v>
      </c>
      <c r="BK27" t="str">
        <f t="shared" si="38"/>
        <v>2022/04/19</v>
      </c>
      <c r="BL27" t="str">
        <f t="shared" si="14"/>
        <v>NE00</v>
      </c>
      <c r="BM27" t="str">
        <f t="shared" si="15"/>
        <v>１工工務Ｇ</v>
      </c>
      <c r="BN27" t="str">
        <f t="shared" si="28"/>
        <v>46548</v>
      </c>
      <c r="BO27" t="str">
        <f t="shared" si="29"/>
        <v>長畑　玲奈</v>
      </c>
    </row>
    <row r="28" spans="1:67">
      <c r="A28">
        <v>9161140614</v>
      </c>
      <c r="B28" t="str">
        <f>""</f>
        <v/>
      </c>
      <c r="C28" t="str">
        <f>""</f>
        <v/>
      </c>
      <c r="D28" t="s">
        <v>10</v>
      </c>
      <c r="E28" t="str">
        <f t="shared" si="0"/>
        <v>1Y</v>
      </c>
      <c r="F28" t="str">
        <f t="shared" si="1"/>
        <v>第１工場</v>
      </c>
      <c r="G28" t="str">
        <f t="shared" si="2"/>
        <v>手配</v>
      </c>
      <c r="H28" t="str">
        <f t="shared" si="3"/>
        <v>Ｐ</v>
      </c>
      <c r="I28" t="str">
        <f t="shared" si="20"/>
        <v>0024</v>
      </c>
      <c r="J28" t="str">
        <f t="shared" si="21"/>
        <v>（株）青山製作所</v>
      </c>
      <c r="K28" t="str">
        <f t="shared" si="22"/>
        <v>01</v>
      </c>
      <c r="L28" t="str">
        <f>""</f>
        <v/>
      </c>
      <c r="M28" t="str">
        <f t="shared" si="39"/>
        <v>――</v>
      </c>
      <c r="N28" t="str">
        <f t="shared" si="39"/>
        <v>――</v>
      </c>
      <c r="O28" t="str">
        <f t="shared" si="5"/>
        <v>Ｍ</v>
      </c>
      <c r="P28" t="str">
        <f t="shared" si="6"/>
        <v>01</v>
      </c>
      <c r="Q28" t="str">
        <f t="shared" si="7"/>
        <v>第１</v>
      </c>
      <c r="R28" t="str">
        <f t="shared" si="8"/>
        <v>1Y</v>
      </c>
      <c r="S28" t="str">
        <f t="shared" si="9"/>
        <v>安城第１工場</v>
      </c>
      <c r="T28" t="str">
        <f t="shared" si="10"/>
        <v>直接</v>
      </c>
      <c r="U28" t="str">
        <f>""</f>
        <v/>
      </c>
      <c r="V28" t="str">
        <f>""</f>
        <v/>
      </c>
      <c r="W28" t="str">
        <f>""</f>
        <v/>
      </c>
      <c r="X28">
        <v>1</v>
      </c>
      <c r="Y28">
        <v>6</v>
      </c>
      <c r="Z28">
        <v>5.76</v>
      </c>
      <c r="AA28">
        <v>0.95</v>
      </c>
      <c r="AB28">
        <v>3</v>
      </c>
      <c r="AC28">
        <v>0.95</v>
      </c>
      <c r="AD28">
        <v>0.95</v>
      </c>
      <c r="AE28">
        <v>1.1000000000000001</v>
      </c>
      <c r="AF28">
        <v>0.5</v>
      </c>
      <c r="AG28" t="str">
        <f t="shared" si="23"/>
        <v>006</v>
      </c>
      <c r="AH28" t="str">
        <f t="shared" si="24"/>
        <v>（株）青山製作所</v>
      </c>
      <c r="AI28" t="str">
        <f>"022"</f>
        <v>022</v>
      </c>
      <c r="AJ28" t="str">
        <f>"M-MG-5"</f>
        <v>M-MG-5</v>
      </c>
      <c r="AK28" t="str">
        <f>"20378"</f>
        <v>20378</v>
      </c>
      <c r="AL28" t="str">
        <f>"1835"</f>
        <v>1835</v>
      </c>
      <c r="AM28" t="str">
        <f>"ﾎﾞﾙﾄｳｲｽﾞﾜﾂｼﾔ"</f>
        <v>ﾎﾞﾙﾄｳｲｽﾞﾜﾂｼﾔ</v>
      </c>
      <c r="AN28" t="str">
        <f t="shared" si="40"/>
        <v>014</v>
      </c>
      <c r="AO28" t="str">
        <f t="shared" si="41"/>
        <v>TP-331 ﾊﾝﾖｳ</v>
      </c>
      <c r="AP28">
        <v>2500</v>
      </c>
      <c r="AQ28" t="str">
        <f>""</f>
        <v/>
      </c>
      <c r="AR28" t="str">
        <f>""</f>
        <v/>
      </c>
      <c r="AS28" t="str">
        <f>""</f>
        <v/>
      </c>
      <c r="AT28" t="str">
        <f t="shared" si="11"/>
        <v>00</v>
      </c>
      <c r="AU28">
        <v>0.5</v>
      </c>
      <c r="AV28" t="str">
        <f>""</f>
        <v/>
      </c>
      <c r="AW28" t="str">
        <f t="shared" si="34"/>
        <v>08</v>
      </c>
      <c r="AX28" t="str">
        <f t="shared" si="35"/>
        <v>専用</v>
      </c>
      <c r="AY28" t="str">
        <f t="shared" si="36"/>
        <v>01</v>
      </c>
      <c r="AZ28" t="str">
        <f t="shared" si="37"/>
        <v>後補充</v>
      </c>
      <c r="BA28" t="str">
        <f>""</f>
        <v/>
      </c>
      <c r="BB28" t="str">
        <f t="shared" si="42"/>
        <v>ＴＰ３３１フタナシ</v>
      </c>
      <c r="BC28" t="str">
        <f t="shared" si="25"/>
        <v xml:space="preserve"> 335.000</v>
      </c>
      <c r="BD28" t="str">
        <f t="shared" si="25"/>
        <v xml:space="preserve"> 335.000</v>
      </c>
      <c r="BE28" t="str">
        <f t="shared" si="26"/>
        <v xml:space="preserve"> 103.000</v>
      </c>
      <c r="BF28" t="str">
        <f t="shared" si="43"/>
        <v xml:space="preserve">   0.012</v>
      </c>
      <c r="BG28" t="str">
        <f>"  13.080"</f>
        <v xml:space="preserve">  13.080</v>
      </c>
      <c r="BH28" t="str">
        <f t="shared" si="12"/>
        <v>しない</v>
      </c>
      <c r="BI28" t="str">
        <f>""</f>
        <v/>
      </c>
      <c r="BJ28" t="str">
        <f t="shared" si="13"/>
        <v>MASTER01</v>
      </c>
      <c r="BK28" t="str">
        <f t="shared" si="38"/>
        <v>2022/04/19</v>
      </c>
      <c r="BL28" t="str">
        <f t="shared" si="14"/>
        <v>NE00</v>
      </c>
      <c r="BM28" t="str">
        <f t="shared" si="15"/>
        <v>１工工務Ｇ</v>
      </c>
      <c r="BN28" t="str">
        <f t="shared" si="28"/>
        <v>46548</v>
      </c>
      <c r="BO28" t="str">
        <f t="shared" si="29"/>
        <v>長畑　玲奈</v>
      </c>
    </row>
    <row r="29" spans="1:67">
      <c r="A29">
        <v>9167180618</v>
      </c>
      <c r="B29" t="str">
        <f>""</f>
        <v/>
      </c>
      <c r="C29" t="str">
        <f>""</f>
        <v/>
      </c>
      <c r="D29" t="s">
        <v>11</v>
      </c>
      <c r="E29" t="str">
        <f t="shared" si="0"/>
        <v>1Y</v>
      </c>
      <c r="F29" t="str">
        <f t="shared" si="1"/>
        <v>第１工場</v>
      </c>
      <c r="G29" t="str">
        <f t="shared" si="2"/>
        <v>手配</v>
      </c>
      <c r="H29" t="str">
        <f t="shared" si="3"/>
        <v>Ｐ</v>
      </c>
      <c r="I29" t="str">
        <f t="shared" si="20"/>
        <v>0024</v>
      </c>
      <c r="J29" t="str">
        <f t="shared" si="21"/>
        <v>（株）青山製作所</v>
      </c>
      <c r="K29" t="str">
        <f t="shared" si="22"/>
        <v>01</v>
      </c>
      <c r="L29" t="str">
        <f>""</f>
        <v/>
      </c>
      <c r="M29" t="str">
        <f t="shared" si="39"/>
        <v>――</v>
      </c>
      <c r="N29" t="str">
        <f t="shared" si="39"/>
        <v>――</v>
      </c>
      <c r="O29" t="str">
        <f t="shared" si="5"/>
        <v>Ｍ</v>
      </c>
      <c r="P29" t="str">
        <f t="shared" si="6"/>
        <v>01</v>
      </c>
      <c r="Q29" t="str">
        <f t="shared" si="7"/>
        <v>第１</v>
      </c>
      <c r="R29" t="str">
        <f t="shared" si="8"/>
        <v>1Y</v>
      </c>
      <c r="S29" t="str">
        <f t="shared" si="9"/>
        <v>安城第１工場</v>
      </c>
      <c r="T29" t="str">
        <f t="shared" si="10"/>
        <v>直接</v>
      </c>
      <c r="U29" t="str">
        <f>""</f>
        <v/>
      </c>
      <c r="V29" t="str">
        <f>""</f>
        <v/>
      </c>
      <c r="W29" t="str">
        <f>""</f>
        <v/>
      </c>
      <c r="X29">
        <v>1</v>
      </c>
      <c r="Y29">
        <v>6</v>
      </c>
      <c r="Z29">
        <v>5.76</v>
      </c>
      <c r="AA29">
        <v>0.95</v>
      </c>
      <c r="AB29">
        <v>3</v>
      </c>
      <c r="AC29">
        <v>0.95</v>
      </c>
      <c r="AD29">
        <v>0.95</v>
      </c>
      <c r="AE29">
        <v>1.1000000000000001</v>
      </c>
      <c r="AF29">
        <v>0.5</v>
      </c>
      <c r="AG29" t="str">
        <f t="shared" si="23"/>
        <v>006</v>
      </c>
      <c r="AH29" t="str">
        <f t="shared" si="24"/>
        <v>（株）青山製作所</v>
      </c>
      <c r="AI29" t="str">
        <f>"023"</f>
        <v>023</v>
      </c>
      <c r="AJ29" t="str">
        <f>"M-C-2-2"</f>
        <v>M-C-2-2</v>
      </c>
      <c r="AK29" t="str">
        <f>"20376"</f>
        <v>20376</v>
      </c>
      <c r="AL29" t="str">
        <f>"1843"</f>
        <v>1843</v>
      </c>
      <c r="AM29" t="s">
        <v>12</v>
      </c>
      <c r="AN29" t="str">
        <f t="shared" si="40"/>
        <v>014</v>
      </c>
      <c r="AO29" t="str">
        <f t="shared" si="41"/>
        <v>TP-331 ﾊﾝﾖｳ</v>
      </c>
      <c r="AP29">
        <v>1000</v>
      </c>
      <c r="AQ29" t="str">
        <f>""</f>
        <v/>
      </c>
      <c r="AR29" t="str">
        <f>""</f>
        <v/>
      </c>
      <c r="AS29" t="str">
        <f>""</f>
        <v/>
      </c>
      <c r="AT29" t="str">
        <f t="shared" si="11"/>
        <v>00</v>
      </c>
      <c r="AU29">
        <v>0.5</v>
      </c>
      <c r="AV29" t="str">
        <f>""</f>
        <v/>
      </c>
      <c r="AW29" t="str">
        <f t="shared" si="34"/>
        <v>08</v>
      </c>
      <c r="AX29" t="str">
        <f t="shared" si="35"/>
        <v>専用</v>
      </c>
      <c r="AY29" t="str">
        <f t="shared" si="36"/>
        <v>01</v>
      </c>
      <c r="AZ29" t="str">
        <f t="shared" si="37"/>
        <v>後補充</v>
      </c>
      <c r="BA29" t="str">
        <f>""</f>
        <v/>
      </c>
      <c r="BB29" t="str">
        <f t="shared" si="42"/>
        <v>ＴＰ３３１フタナシ</v>
      </c>
      <c r="BC29" t="str">
        <f t="shared" si="25"/>
        <v xml:space="preserve"> 335.000</v>
      </c>
      <c r="BD29" t="str">
        <f t="shared" si="25"/>
        <v xml:space="preserve"> 335.000</v>
      </c>
      <c r="BE29" t="str">
        <f t="shared" si="26"/>
        <v xml:space="preserve"> 103.000</v>
      </c>
      <c r="BF29" t="str">
        <f t="shared" si="43"/>
        <v xml:space="preserve">   0.012</v>
      </c>
      <c r="BG29" t="str">
        <f>"   9.430"</f>
        <v xml:space="preserve">   9.430</v>
      </c>
      <c r="BH29" t="str">
        <f t="shared" si="12"/>
        <v>しない</v>
      </c>
      <c r="BI29" t="str">
        <f>""</f>
        <v/>
      </c>
      <c r="BJ29" t="str">
        <f t="shared" si="13"/>
        <v>MASTER01</v>
      </c>
      <c r="BK29" t="str">
        <f t="shared" si="38"/>
        <v>2022/04/19</v>
      </c>
      <c r="BL29" t="str">
        <f t="shared" si="14"/>
        <v>NE00</v>
      </c>
      <c r="BM29" t="str">
        <f t="shared" si="15"/>
        <v>１工工務Ｇ</v>
      </c>
      <c r="BN29" t="str">
        <f t="shared" si="28"/>
        <v>46548</v>
      </c>
      <c r="BO29" t="str">
        <f t="shared" si="29"/>
        <v>長畑　玲奈</v>
      </c>
    </row>
    <row r="30" spans="1:67">
      <c r="A30" t="s">
        <v>132</v>
      </c>
      <c r="B30" t="str">
        <f>""</f>
        <v/>
      </c>
      <c r="C30" t="str">
        <f>""</f>
        <v/>
      </c>
      <c r="D30" t="s">
        <v>16</v>
      </c>
      <c r="E30" t="str">
        <f t="shared" si="0"/>
        <v>1Y</v>
      </c>
      <c r="F30" t="str">
        <f t="shared" si="1"/>
        <v>第１工場</v>
      </c>
      <c r="G30" t="str">
        <f t="shared" si="2"/>
        <v>手配</v>
      </c>
      <c r="H30" t="str">
        <f t="shared" si="3"/>
        <v>Ｐ</v>
      </c>
      <c r="I30" t="str">
        <f t="shared" si="20"/>
        <v>0024</v>
      </c>
      <c r="J30" t="str">
        <f t="shared" si="21"/>
        <v>（株）青山製作所</v>
      </c>
      <c r="K30" t="str">
        <f t="shared" si="22"/>
        <v>01</v>
      </c>
      <c r="L30" t="str">
        <f>""</f>
        <v/>
      </c>
      <c r="M30" t="str">
        <f t="shared" si="39"/>
        <v>――</v>
      </c>
      <c r="N30" t="str">
        <f t="shared" si="39"/>
        <v>――</v>
      </c>
      <c r="O30" t="str">
        <f t="shared" si="5"/>
        <v>Ｍ</v>
      </c>
      <c r="P30" t="str">
        <f t="shared" si="6"/>
        <v>01</v>
      </c>
      <c r="Q30" t="str">
        <f t="shared" si="7"/>
        <v>第１</v>
      </c>
      <c r="R30" t="str">
        <f t="shared" si="8"/>
        <v>1Y</v>
      </c>
      <c r="S30" t="str">
        <f t="shared" si="9"/>
        <v>安城第１工場</v>
      </c>
      <c r="T30" t="str">
        <f t="shared" si="10"/>
        <v>直接</v>
      </c>
      <c r="U30" t="str">
        <f>""</f>
        <v/>
      </c>
      <c r="V30" t="str">
        <f>""</f>
        <v/>
      </c>
      <c r="W30" t="str">
        <f>""</f>
        <v/>
      </c>
      <c r="X30">
        <v>1</v>
      </c>
      <c r="Y30">
        <v>6</v>
      </c>
      <c r="Z30">
        <v>5.76</v>
      </c>
      <c r="AA30">
        <v>0.95</v>
      </c>
      <c r="AB30">
        <v>3</v>
      </c>
      <c r="AC30">
        <v>0.95</v>
      </c>
      <c r="AD30">
        <v>0.95</v>
      </c>
      <c r="AE30">
        <v>1.1000000000000001</v>
      </c>
      <c r="AF30">
        <v>0.5</v>
      </c>
      <c r="AG30" t="str">
        <f t="shared" si="23"/>
        <v>006</v>
      </c>
      <c r="AH30" t="str">
        <f t="shared" si="24"/>
        <v>（株）青山製作所</v>
      </c>
      <c r="AI30" t="str">
        <f>"028"</f>
        <v>028</v>
      </c>
      <c r="AJ30" t="str">
        <f>""</f>
        <v/>
      </c>
      <c r="AK30" t="str">
        <f>""</f>
        <v/>
      </c>
      <c r="AL30" t="str">
        <f>"1840"</f>
        <v>1840</v>
      </c>
      <c r="AM30" t="s">
        <v>17</v>
      </c>
      <c r="AN30" t="str">
        <f t="shared" si="40"/>
        <v>014</v>
      </c>
      <c r="AO30" t="str">
        <f t="shared" si="41"/>
        <v>TP-331 ﾊﾝﾖｳ</v>
      </c>
      <c r="AP30">
        <v>70</v>
      </c>
      <c r="AQ30" t="str">
        <f>""</f>
        <v/>
      </c>
      <c r="AR30" t="str">
        <f>""</f>
        <v/>
      </c>
      <c r="AS30" t="str">
        <f>""</f>
        <v/>
      </c>
      <c r="AT30" t="str">
        <f t="shared" si="11"/>
        <v>00</v>
      </c>
      <c r="AU30">
        <v>0.5</v>
      </c>
      <c r="AV30" t="str">
        <f>""</f>
        <v/>
      </c>
      <c r="AW30" t="str">
        <f>""</f>
        <v/>
      </c>
      <c r="AX30" t="str">
        <f>""</f>
        <v/>
      </c>
      <c r="AY30" t="str">
        <f>""</f>
        <v/>
      </c>
      <c r="AZ30" t="str">
        <f>""</f>
        <v/>
      </c>
      <c r="BA30" t="str">
        <f>""</f>
        <v/>
      </c>
      <c r="BB30" t="str">
        <f t="shared" si="42"/>
        <v>ＴＰ３３１フタナシ</v>
      </c>
      <c r="BC30" t="str">
        <f t="shared" si="25"/>
        <v xml:space="preserve"> 335.000</v>
      </c>
      <c r="BD30" t="str">
        <f t="shared" si="25"/>
        <v xml:space="preserve"> 335.000</v>
      </c>
      <c r="BE30" t="str">
        <f t="shared" si="26"/>
        <v xml:space="preserve"> 103.000</v>
      </c>
      <c r="BF30" t="str">
        <f t="shared" si="43"/>
        <v xml:space="preserve">   0.012</v>
      </c>
      <c r="BG30" t="str">
        <f>"   7.690"</f>
        <v xml:space="preserve">   7.690</v>
      </c>
      <c r="BH30" t="str">
        <f t="shared" si="12"/>
        <v>しない</v>
      </c>
      <c r="BI30" t="str">
        <f>""</f>
        <v/>
      </c>
      <c r="BJ30" t="str">
        <f t="shared" si="13"/>
        <v>MASTER01</v>
      </c>
      <c r="BK30" t="str">
        <f>"2023/01/16"</f>
        <v>2023/01/16</v>
      </c>
      <c r="BL30" t="str">
        <f t="shared" si="14"/>
        <v>NE00</v>
      </c>
      <c r="BM30" t="str">
        <f t="shared" si="15"/>
        <v>１工工務Ｇ</v>
      </c>
      <c r="BN30" t="str">
        <f t="shared" si="28"/>
        <v>46548</v>
      </c>
      <c r="BO30" t="str">
        <f t="shared" si="29"/>
        <v>長畑　玲奈</v>
      </c>
    </row>
    <row r="31" spans="1:67">
      <c r="A31" t="s">
        <v>133</v>
      </c>
      <c r="B31" t="str">
        <f>""</f>
        <v/>
      </c>
      <c r="C31" t="str">
        <f>""</f>
        <v/>
      </c>
      <c r="D31" t="s">
        <v>16</v>
      </c>
      <c r="E31" t="str">
        <f t="shared" si="0"/>
        <v>1Y</v>
      </c>
      <c r="F31" t="str">
        <f t="shared" si="1"/>
        <v>第１工場</v>
      </c>
      <c r="G31" t="str">
        <f t="shared" si="2"/>
        <v>手配</v>
      </c>
      <c r="H31" t="str">
        <f t="shared" si="3"/>
        <v>Ｐ</v>
      </c>
      <c r="I31" t="str">
        <f t="shared" si="20"/>
        <v>0024</v>
      </c>
      <c r="J31" t="str">
        <f t="shared" si="21"/>
        <v>（株）青山製作所</v>
      </c>
      <c r="K31" t="str">
        <f t="shared" si="22"/>
        <v>01</v>
      </c>
      <c r="L31" t="str">
        <f>""</f>
        <v/>
      </c>
      <c r="M31" t="str">
        <f t="shared" si="39"/>
        <v>――</v>
      </c>
      <c r="N31" t="str">
        <f t="shared" si="39"/>
        <v>――</v>
      </c>
      <c r="O31" t="str">
        <f t="shared" si="5"/>
        <v>Ｍ</v>
      </c>
      <c r="P31" t="str">
        <f t="shared" si="6"/>
        <v>01</v>
      </c>
      <c r="Q31" t="str">
        <f t="shared" si="7"/>
        <v>第１</v>
      </c>
      <c r="R31" t="str">
        <f t="shared" si="8"/>
        <v>1Y</v>
      </c>
      <c r="S31" t="str">
        <f t="shared" si="9"/>
        <v>安城第１工場</v>
      </c>
      <c r="T31" t="str">
        <f t="shared" si="10"/>
        <v>直接</v>
      </c>
      <c r="U31" t="str">
        <f>""</f>
        <v/>
      </c>
      <c r="V31" t="str">
        <f>""</f>
        <v/>
      </c>
      <c r="W31" t="str">
        <f>""</f>
        <v/>
      </c>
      <c r="X31">
        <v>1</v>
      </c>
      <c r="Y31">
        <v>6</v>
      </c>
      <c r="Z31">
        <v>5.76</v>
      </c>
      <c r="AA31">
        <v>0.95</v>
      </c>
      <c r="AB31">
        <v>3</v>
      </c>
      <c r="AC31">
        <v>0.95</v>
      </c>
      <c r="AD31">
        <v>0.95</v>
      </c>
      <c r="AE31">
        <v>1.1000000000000001</v>
      </c>
      <c r="AF31">
        <v>0.5</v>
      </c>
      <c r="AG31" t="str">
        <f t="shared" si="23"/>
        <v>006</v>
      </c>
      <c r="AH31" t="str">
        <f t="shared" si="24"/>
        <v>（株）青山製作所</v>
      </c>
      <c r="AI31" t="str">
        <f>"024"</f>
        <v>024</v>
      </c>
      <c r="AJ31" t="str">
        <f>"M-ST-5"</f>
        <v>M-ST-5</v>
      </c>
      <c r="AK31" t="str">
        <f>"20365"</f>
        <v>20365</v>
      </c>
      <c r="AL31" t="str">
        <f>"1840"</f>
        <v>1840</v>
      </c>
      <c r="AM31" t="s">
        <v>18</v>
      </c>
      <c r="AN31" t="str">
        <f t="shared" si="40"/>
        <v>014</v>
      </c>
      <c r="AO31" t="str">
        <f t="shared" si="41"/>
        <v>TP-331 ﾊﾝﾖｳ</v>
      </c>
      <c r="AP31">
        <v>80</v>
      </c>
      <c r="AQ31" t="str">
        <f>""</f>
        <v/>
      </c>
      <c r="AR31" t="str">
        <f>""</f>
        <v/>
      </c>
      <c r="AS31" t="str">
        <f>""</f>
        <v/>
      </c>
      <c r="AT31" t="str">
        <f t="shared" si="11"/>
        <v>00</v>
      </c>
      <c r="AU31">
        <v>0.5</v>
      </c>
      <c r="AV31" t="str">
        <f>""</f>
        <v/>
      </c>
      <c r="AW31" t="str">
        <f>"08"</f>
        <v>08</v>
      </c>
      <c r="AX31" t="str">
        <f>"専用"</f>
        <v>専用</v>
      </c>
      <c r="AY31" t="str">
        <f>"01"</f>
        <v>01</v>
      </c>
      <c r="AZ31" t="str">
        <f>"後補充"</f>
        <v>後補充</v>
      </c>
      <c r="BA31" t="str">
        <f>""</f>
        <v/>
      </c>
      <c r="BB31" t="str">
        <f t="shared" si="42"/>
        <v>ＴＰ３３１フタナシ</v>
      </c>
      <c r="BC31" t="str">
        <f t="shared" si="25"/>
        <v xml:space="preserve"> 335.000</v>
      </c>
      <c r="BD31" t="str">
        <f t="shared" si="25"/>
        <v xml:space="preserve"> 335.000</v>
      </c>
      <c r="BE31" t="str">
        <f t="shared" si="26"/>
        <v xml:space="preserve"> 103.000</v>
      </c>
      <c r="BF31" t="str">
        <f t="shared" si="43"/>
        <v xml:space="preserve">   0.012</v>
      </c>
      <c r="BG31" t="str">
        <f>"   7.438"</f>
        <v xml:space="preserve">   7.438</v>
      </c>
      <c r="BH31" t="str">
        <f t="shared" si="12"/>
        <v>しない</v>
      </c>
      <c r="BI31" t="str">
        <f>""</f>
        <v/>
      </c>
      <c r="BJ31" t="str">
        <f t="shared" si="13"/>
        <v>MASTER01</v>
      </c>
      <c r="BK31" t="str">
        <f>"2022/04/19"</f>
        <v>2022/04/19</v>
      </c>
      <c r="BL31" t="str">
        <f t="shared" si="14"/>
        <v>NE00</v>
      </c>
      <c r="BM31" t="str">
        <f t="shared" si="15"/>
        <v>１工工務Ｇ</v>
      </c>
      <c r="BN31" t="str">
        <f t="shared" si="28"/>
        <v>46548</v>
      </c>
      <c r="BO31" t="str">
        <f t="shared" si="29"/>
        <v>長畑　玲奈</v>
      </c>
    </row>
    <row r="32" spans="1:67">
      <c r="A32" t="s">
        <v>134</v>
      </c>
      <c r="B32" t="str">
        <f>""</f>
        <v/>
      </c>
      <c r="C32" t="str">
        <f>""</f>
        <v/>
      </c>
      <c r="D32" t="s">
        <v>16</v>
      </c>
      <c r="E32" t="str">
        <f t="shared" si="0"/>
        <v>1Y</v>
      </c>
      <c r="F32" t="str">
        <f t="shared" si="1"/>
        <v>第１工場</v>
      </c>
      <c r="G32" t="str">
        <f t="shared" si="2"/>
        <v>手配</v>
      </c>
      <c r="H32" t="str">
        <f t="shared" si="3"/>
        <v>Ｐ</v>
      </c>
      <c r="I32" t="str">
        <f t="shared" si="20"/>
        <v>0024</v>
      </c>
      <c r="J32" t="str">
        <f t="shared" si="21"/>
        <v>（株）青山製作所</v>
      </c>
      <c r="K32" t="str">
        <f t="shared" si="22"/>
        <v>01</v>
      </c>
      <c r="L32" t="str">
        <f>""</f>
        <v/>
      </c>
      <c r="M32" t="str">
        <f t="shared" si="39"/>
        <v>――</v>
      </c>
      <c r="N32" t="str">
        <f t="shared" si="39"/>
        <v>――</v>
      </c>
      <c r="O32" t="str">
        <f t="shared" si="5"/>
        <v>Ｍ</v>
      </c>
      <c r="P32" t="str">
        <f t="shared" si="6"/>
        <v>01</v>
      </c>
      <c r="Q32" t="str">
        <f t="shared" si="7"/>
        <v>第１</v>
      </c>
      <c r="R32" t="str">
        <f t="shared" si="8"/>
        <v>1Y</v>
      </c>
      <c r="S32" t="str">
        <f t="shared" si="9"/>
        <v>安城第１工場</v>
      </c>
      <c r="T32" t="str">
        <f t="shared" si="10"/>
        <v>直接</v>
      </c>
      <c r="U32" t="str">
        <f>""</f>
        <v/>
      </c>
      <c r="V32" t="str">
        <f>""</f>
        <v/>
      </c>
      <c r="W32" t="str">
        <f>""</f>
        <v/>
      </c>
      <c r="X32">
        <v>1</v>
      </c>
      <c r="Y32">
        <v>6</v>
      </c>
      <c r="Z32">
        <v>5.76</v>
      </c>
      <c r="AA32">
        <v>0.95</v>
      </c>
      <c r="AB32">
        <v>3</v>
      </c>
      <c r="AC32">
        <v>0.95</v>
      </c>
      <c r="AD32">
        <v>0.95</v>
      </c>
      <c r="AE32">
        <v>1.1000000000000001</v>
      </c>
      <c r="AF32">
        <v>0.5</v>
      </c>
      <c r="AG32" t="str">
        <f t="shared" si="23"/>
        <v>006</v>
      </c>
      <c r="AH32" t="str">
        <f t="shared" si="24"/>
        <v>（株）青山製作所</v>
      </c>
      <c r="AI32" t="str">
        <f>"025"</f>
        <v>025</v>
      </c>
      <c r="AJ32" t="str">
        <f>"M-ST-4"</f>
        <v>M-ST-4</v>
      </c>
      <c r="AK32" t="str">
        <f>"20372"</f>
        <v>20372</v>
      </c>
      <c r="AL32" t="str">
        <f>"1840"</f>
        <v>1840</v>
      </c>
      <c r="AM32" t="s">
        <v>18</v>
      </c>
      <c r="AN32" t="str">
        <f t="shared" si="40"/>
        <v>014</v>
      </c>
      <c r="AO32" t="str">
        <f t="shared" si="41"/>
        <v>TP-331 ﾊﾝﾖｳ</v>
      </c>
      <c r="AP32">
        <v>100</v>
      </c>
      <c r="AQ32" t="str">
        <f>""</f>
        <v/>
      </c>
      <c r="AR32" t="str">
        <f>""</f>
        <v/>
      </c>
      <c r="AS32" t="str">
        <f>""</f>
        <v/>
      </c>
      <c r="AT32" t="str">
        <f t="shared" si="11"/>
        <v>00</v>
      </c>
      <c r="AU32">
        <v>0.5</v>
      </c>
      <c r="AV32" t="str">
        <f>""</f>
        <v/>
      </c>
      <c r="AW32" t="str">
        <f>"08"</f>
        <v>08</v>
      </c>
      <c r="AX32" t="str">
        <f>"専用"</f>
        <v>専用</v>
      </c>
      <c r="AY32" t="str">
        <f>"01"</f>
        <v>01</v>
      </c>
      <c r="AZ32" t="str">
        <f>"後補充"</f>
        <v>後補充</v>
      </c>
      <c r="BA32" t="str">
        <f>""</f>
        <v/>
      </c>
      <c r="BB32" t="str">
        <f t="shared" si="42"/>
        <v>ＴＰ３３１フタナシ</v>
      </c>
      <c r="BC32" t="str">
        <f t="shared" si="25"/>
        <v xml:space="preserve"> 335.000</v>
      </c>
      <c r="BD32" t="str">
        <f t="shared" si="25"/>
        <v xml:space="preserve"> 335.000</v>
      </c>
      <c r="BE32" t="str">
        <f t="shared" si="26"/>
        <v xml:space="preserve"> 103.000</v>
      </c>
      <c r="BF32" t="str">
        <f t="shared" si="43"/>
        <v xml:space="preserve">   0.012</v>
      </c>
      <c r="BG32" t="str">
        <f>"   7.770"</f>
        <v xml:space="preserve">   7.770</v>
      </c>
      <c r="BH32" t="str">
        <f t="shared" si="12"/>
        <v>しない</v>
      </c>
      <c r="BI32" t="str">
        <f>""</f>
        <v/>
      </c>
      <c r="BJ32" t="str">
        <f t="shared" si="13"/>
        <v>MASTER01</v>
      </c>
      <c r="BK32" t="str">
        <f>"2022/04/19"</f>
        <v>2022/04/19</v>
      </c>
      <c r="BL32" t="str">
        <f t="shared" si="14"/>
        <v>NE00</v>
      </c>
      <c r="BM32" t="str">
        <f t="shared" si="15"/>
        <v>１工工務Ｇ</v>
      </c>
      <c r="BN32" t="str">
        <f t="shared" si="28"/>
        <v>46548</v>
      </c>
      <c r="BO32" t="str">
        <f t="shared" si="29"/>
        <v>長畑　玲奈</v>
      </c>
    </row>
    <row r="33" spans="1:67">
      <c r="A33" t="s">
        <v>135</v>
      </c>
      <c r="B33" t="str">
        <f>""</f>
        <v/>
      </c>
      <c r="C33" t="str">
        <f>""</f>
        <v/>
      </c>
      <c r="D33" t="s">
        <v>19</v>
      </c>
      <c r="E33" t="str">
        <f t="shared" si="0"/>
        <v>1Y</v>
      </c>
      <c r="F33" t="str">
        <f t="shared" si="1"/>
        <v>第１工場</v>
      </c>
      <c r="G33" t="str">
        <f t="shared" si="2"/>
        <v>手配</v>
      </c>
      <c r="H33" t="str">
        <f t="shared" si="3"/>
        <v>Ｐ</v>
      </c>
      <c r="I33" t="str">
        <f>"0030"</f>
        <v>0030</v>
      </c>
      <c r="J33" t="str">
        <f>"（株）浅賀井製作所"</f>
        <v>（株）浅賀井製作所</v>
      </c>
      <c r="K33" t="str">
        <f t="shared" si="22"/>
        <v>01</v>
      </c>
      <c r="L33" t="str">
        <f>"安城工場"</f>
        <v>安城工場</v>
      </c>
      <c r="M33" t="str">
        <f t="shared" si="39"/>
        <v>――</v>
      </c>
      <c r="N33" t="str">
        <f t="shared" si="39"/>
        <v>――</v>
      </c>
      <c r="O33" t="str">
        <f t="shared" si="5"/>
        <v>Ｍ</v>
      </c>
      <c r="P33" t="str">
        <f t="shared" si="6"/>
        <v>01</v>
      </c>
      <c r="Q33" t="str">
        <f t="shared" si="7"/>
        <v>第１</v>
      </c>
      <c r="R33" t="str">
        <f t="shared" si="8"/>
        <v>1Y</v>
      </c>
      <c r="S33" t="str">
        <f t="shared" si="9"/>
        <v>安城第１工場</v>
      </c>
      <c r="T33" t="str">
        <f t="shared" si="10"/>
        <v>直接</v>
      </c>
      <c r="U33" t="str">
        <f>""</f>
        <v/>
      </c>
      <c r="V33" t="str">
        <f>""</f>
        <v/>
      </c>
      <c r="W33" t="str">
        <f>""</f>
        <v/>
      </c>
      <c r="X33">
        <v>1</v>
      </c>
      <c r="Y33">
        <v>4</v>
      </c>
      <c r="Z33">
        <v>6.88</v>
      </c>
      <c r="AA33">
        <v>1.08</v>
      </c>
      <c r="AB33">
        <v>3</v>
      </c>
      <c r="AC33">
        <v>1.08</v>
      </c>
      <c r="AD33">
        <v>1.08</v>
      </c>
      <c r="AE33">
        <v>1.1000000000000001</v>
      </c>
      <c r="AF33">
        <v>0.5</v>
      </c>
      <c r="AG33" t="str">
        <f>"098"</f>
        <v>098</v>
      </c>
      <c r="AH33" t="str">
        <f>"（株）浅賀井製作所"</f>
        <v>（株）浅賀井製作所</v>
      </c>
      <c r="AI33" t="str">
        <f>"101"</f>
        <v>101</v>
      </c>
      <c r="AJ33" t="str">
        <f>"M-MG-38"</f>
        <v>M-MG-38</v>
      </c>
      <c r="AK33" t="str">
        <f>"10494"</f>
        <v>10494</v>
      </c>
      <c r="AL33" t="str">
        <f>"9201"</f>
        <v>9201</v>
      </c>
      <c r="AM33" t="str">
        <f>"ｵｲﾙﾌﾟﾚｰﾄ"</f>
        <v>ｵｲﾙﾌﾟﾚｰﾄ</v>
      </c>
      <c r="AN33" t="str">
        <f>"012"</f>
        <v>012</v>
      </c>
      <c r="AO33" t="str">
        <f>"TP-131 ﾊﾝﾖｳ"</f>
        <v>TP-131 ﾊﾝﾖｳ</v>
      </c>
      <c r="AP33">
        <v>100</v>
      </c>
      <c r="AQ33" t="str">
        <f>""</f>
        <v/>
      </c>
      <c r="AR33" t="str">
        <f>""</f>
        <v/>
      </c>
      <c r="AS33" t="str">
        <f>""</f>
        <v/>
      </c>
      <c r="AT33" t="str">
        <f t="shared" si="11"/>
        <v>00</v>
      </c>
      <c r="AU33">
        <v>0.5</v>
      </c>
      <c r="AV33" t="str">
        <f>""</f>
        <v/>
      </c>
      <c r="AW33" t="str">
        <f>"08"</f>
        <v>08</v>
      </c>
      <c r="AX33" t="str">
        <f>"専用"</f>
        <v>専用</v>
      </c>
      <c r="AY33" t="str">
        <f>"01"</f>
        <v>01</v>
      </c>
      <c r="AZ33" t="str">
        <f>"後補充"</f>
        <v>後補充</v>
      </c>
      <c r="BA33" t="str">
        <f>""</f>
        <v/>
      </c>
      <c r="BB33" t="str">
        <f t="shared" si="42"/>
        <v>ＴＰ３３１フタナシ</v>
      </c>
      <c r="BC33" t="str">
        <f t="shared" si="25"/>
        <v xml:space="preserve"> 335.000</v>
      </c>
      <c r="BD33" t="str">
        <f t="shared" si="25"/>
        <v xml:space="preserve"> 335.000</v>
      </c>
      <c r="BE33" t="str">
        <f t="shared" si="26"/>
        <v xml:space="preserve"> 103.000</v>
      </c>
      <c r="BF33" t="str">
        <f t="shared" si="43"/>
        <v xml:space="preserve">   0.012</v>
      </c>
      <c r="BG33" t="str">
        <f>"   1.200"</f>
        <v xml:space="preserve">   1.200</v>
      </c>
      <c r="BH33" t="str">
        <f t="shared" si="12"/>
        <v>しない</v>
      </c>
      <c r="BI33" t="str">
        <f>""</f>
        <v/>
      </c>
      <c r="BJ33" t="str">
        <f t="shared" si="13"/>
        <v>MASTER01</v>
      </c>
      <c r="BK33" t="str">
        <f>"2022/04/19"</f>
        <v>2022/04/19</v>
      </c>
      <c r="BL33" t="str">
        <f t="shared" si="14"/>
        <v>NE00</v>
      </c>
      <c r="BM33" t="str">
        <f t="shared" si="15"/>
        <v>１工工務Ｇ</v>
      </c>
      <c r="BN33" t="str">
        <f t="shared" si="28"/>
        <v>46548</v>
      </c>
      <c r="BO33" t="str">
        <f t="shared" si="29"/>
        <v>長畑　玲奈</v>
      </c>
    </row>
    <row r="34" spans="1:67">
      <c r="A34" t="s">
        <v>136</v>
      </c>
      <c r="B34" t="str">
        <f>""</f>
        <v/>
      </c>
      <c r="C34" t="str">
        <f>""</f>
        <v/>
      </c>
      <c r="D34" t="s">
        <v>20</v>
      </c>
      <c r="E34" t="str">
        <f t="shared" si="0"/>
        <v>1Y</v>
      </c>
      <c r="F34" t="str">
        <f t="shared" si="1"/>
        <v>第１工場</v>
      </c>
      <c r="G34" t="str">
        <f t="shared" si="2"/>
        <v>手配</v>
      </c>
      <c r="H34" t="str">
        <f t="shared" si="3"/>
        <v>Ｐ</v>
      </c>
      <c r="I34" t="str">
        <f>"0030"</f>
        <v>0030</v>
      </c>
      <c r="J34" t="str">
        <f>"（株）浅賀井製作所"</f>
        <v>（株）浅賀井製作所</v>
      </c>
      <c r="K34" t="str">
        <f t="shared" si="22"/>
        <v>01</v>
      </c>
      <c r="L34" t="str">
        <f>"安城工場"</f>
        <v>安城工場</v>
      </c>
      <c r="M34" t="str">
        <f t="shared" si="39"/>
        <v>――</v>
      </c>
      <c r="N34" t="str">
        <f t="shared" si="39"/>
        <v>――</v>
      </c>
      <c r="O34" t="str">
        <f t="shared" si="5"/>
        <v>Ｍ</v>
      </c>
      <c r="P34" t="str">
        <f t="shared" si="6"/>
        <v>01</v>
      </c>
      <c r="Q34" t="str">
        <f t="shared" si="7"/>
        <v>第１</v>
      </c>
      <c r="R34" t="str">
        <f t="shared" si="8"/>
        <v>1Y</v>
      </c>
      <c r="S34" t="str">
        <f t="shared" si="9"/>
        <v>安城第１工場</v>
      </c>
      <c r="T34" t="str">
        <f t="shared" si="10"/>
        <v>直接</v>
      </c>
      <c r="U34" t="str">
        <f>""</f>
        <v/>
      </c>
      <c r="V34" t="str">
        <f>""</f>
        <v/>
      </c>
      <c r="W34" t="str">
        <f>""</f>
        <v/>
      </c>
      <c r="X34">
        <v>1</v>
      </c>
      <c r="Y34">
        <v>4</v>
      </c>
      <c r="Z34">
        <v>6.88</v>
      </c>
      <c r="AA34">
        <v>1.08</v>
      </c>
      <c r="AB34">
        <v>3</v>
      </c>
      <c r="AC34">
        <v>1.08</v>
      </c>
      <c r="AD34">
        <v>1.08</v>
      </c>
      <c r="AE34">
        <v>1.1000000000000001</v>
      </c>
      <c r="AF34">
        <v>0.5</v>
      </c>
      <c r="AG34" t="str">
        <f>"098"</f>
        <v>098</v>
      </c>
      <c r="AH34" t="str">
        <f>"（株）浅賀井製作所"</f>
        <v>（株）浅賀井製作所</v>
      </c>
      <c r="AI34" t="str">
        <f>"005"</f>
        <v>005</v>
      </c>
      <c r="AJ34" t="str">
        <f>""</f>
        <v/>
      </c>
      <c r="AK34" t="str">
        <f>""</f>
        <v/>
      </c>
      <c r="AL34" t="str">
        <f>"0596"</f>
        <v>0596</v>
      </c>
      <c r="AM34" t="str">
        <f>"ﾌﾟﾚｰﾄ ｵｲﾙ ﾘｻﾞｰﾊﾞｰ ﾛｯｸ"</f>
        <v>ﾌﾟﾚｰﾄ ｵｲﾙ ﾘｻﾞｰﾊﾞｰ ﾛｯｸ</v>
      </c>
      <c r="AN34" t="str">
        <f>"016"</f>
        <v>016</v>
      </c>
      <c r="AO34" t="str">
        <f>"TP-332 ﾊﾝﾖｳ"</f>
        <v>TP-332 ﾊﾝﾖｳ</v>
      </c>
      <c r="AP34">
        <v>30</v>
      </c>
      <c r="AQ34" t="str">
        <f>""</f>
        <v/>
      </c>
      <c r="AR34" t="str">
        <f>""</f>
        <v/>
      </c>
      <c r="AS34" t="str">
        <f>""</f>
        <v/>
      </c>
      <c r="AT34" t="str">
        <f t="shared" si="11"/>
        <v>00</v>
      </c>
      <c r="AU34">
        <v>0.5</v>
      </c>
      <c r="AV34" t="str">
        <f>""</f>
        <v/>
      </c>
      <c r="AW34" t="str">
        <f>""</f>
        <v/>
      </c>
      <c r="AX34" t="str">
        <f>""</f>
        <v/>
      </c>
      <c r="AY34" t="str">
        <f>""</f>
        <v/>
      </c>
      <c r="AZ34" t="str">
        <f>""</f>
        <v/>
      </c>
      <c r="BA34" t="str">
        <f>""</f>
        <v/>
      </c>
      <c r="BB34" t="str">
        <f>"ＴＰ３３２フタナシ"</f>
        <v>ＴＰ３３２フタナシ</v>
      </c>
      <c r="BC34" t="str">
        <f t="shared" si="25"/>
        <v xml:space="preserve"> 335.000</v>
      </c>
      <c r="BD34" t="str">
        <f t="shared" si="25"/>
        <v xml:space="preserve"> 335.000</v>
      </c>
      <c r="BE34" t="str">
        <f>" 195.000"</f>
        <v xml:space="preserve"> 195.000</v>
      </c>
      <c r="BF34" t="str">
        <f>"   0.022"</f>
        <v xml:space="preserve">   0.022</v>
      </c>
      <c r="BG34" t="str">
        <f>"   2.300"</f>
        <v xml:space="preserve">   2.300</v>
      </c>
      <c r="BH34" t="str">
        <f t="shared" si="12"/>
        <v>しない</v>
      </c>
      <c r="BI34" t="str">
        <f>""</f>
        <v/>
      </c>
      <c r="BJ34" t="str">
        <f t="shared" si="13"/>
        <v>MASTER01</v>
      </c>
      <c r="BK34" t="str">
        <f>"2023/01/17"</f>
        <v>2023/01/17</v>
      </c>
      <c r="BL34" t="str">
        <f t="shared" si="14"/>
        <v>NE00</v>
      </c>
      <c r="BM34" t="str">
        <f t="shared" si="15"/>
        <v>１工工務Ｇ</v>
      </c>
      <c r="BN34" t="str">
        <f t="shared" si="28"/>
        <v>46548</v>
      </c>
      <c r="BO34" t="str">
        <f t="shared" si="29"/>
        <v>長畑　玲奈</v>
      </c>
    </row>
    <row r="35" spans="1:67">
      <c r="A35" t="s">
        <v>137</v>
      </c>
      <c r="B35" t="str">
        <f>""</f>
        <v/>
      </c>
      <c r="C35" t="str">
        <f>""</f>
        <v/>
      </c>
      <c r="D35" t="s">
        <v>20</v>
      </c>
      <c r="E35" t="str">
        <f t="shared" si="0"/>
        <v>1Y</v>
      </c>
      <c r="F35" t="str">
        <f t="shared" si="1"/>
        <v>第１工場</v>
      </c>
      <c r="G35" t="str">
        <f t="shared" si="2"/>
        <v>手配</v>
      </c>
      <c r="H35" t="str">
        <f t="shared" si="3"/>
        <v>Ｐ</v>
      </c>
      <c r="I35" t="str">
        <f>"0030"</f>
        <v>0030</v>
      </c>
      <c r="J35" t="str">
        <f>"（株）浅賀井製作所"</f>
        <v>（株）浅賀井製作所</v>
      </c>
      <c r="K35" t="str">
        <f t="shared" si="22"/>
        <v>01</v>
      </c>
      <c r="L35" t="str">
        <f>"安城工場"</f>
        <v>安城工場</v>
      </c>
      <c r="M35" t="str">
        <f t="shared" si="39"/>
        <v>――</v>
      </c>
      <c r="N35" t="str">
        <f t="shared" si="39"/>
        <v>――</v>
      </c>
      <c r="O35" t="str">
        <f t="shared" si="5"/>
        <v>Ｍ</v>
      </c>
      <c r="P35" t="str">
        <f t="shared" si="6"/>
        <v>01</v>
      </c>
      <c r="Q35" t="str">
        <f t="shared" si="7"/>
        <v>第１</v>
      </c>
      <c r="R35" t="str">
        <f t="shared" si="8"/>
        <v>1Y</v>
      </c>
      <c r="S35" t="str">
        <f t="shared" si="9"/>
        <v>安城第１工場</v>
      </c>
      <c r="T35" t="str">
        <f t="shared" si="10"/>
        <v>直接</v>
      </c>
      <c r="U35" t="str">
        <f>""</f>
        <v/>
      </c>
      <c r="V35" t="str">
        <f>""</f>
        <v/>
      </c>
      <c r="W35" t="str">
        <f>""</f>
        <v/>
      </c>
      <c r="X35">
        <v>1</v>
      </c>
      <c r="Y35">
        <v>4</v>
      </c>
      <c r="Z35">
        <v>6.88</v>
      </c>
      <c r="AA35">
        <v>1.08</v>
      </c>
      <c r="AB35">
        <v>3</v>
      </c>
      <c r="AC35">
        <v>1.08</v>
      </c>
      <c r="AD35">
        <v>1.08</v>
      </c>
      <c r="AE35">
        <v>1.1000000000000001</v>
      </c>
      <c r="AF35">
        <v>0.5</v>
      </c>
      <c r="AG35" t="str">
        <f>"098"</f>
        <v>098</v>
      </c>
      <c r="AH35" t="str">
        <f>"（株）浅賀井製作所"</f>
        <v>（株）浅賀井製作所</v>
      </c>
      <c r="AI35" t="str">
        <f>"001"</f>
        <v>001</v>
      </c>
      <c r="AJ35" t="str">
        <f>"S-TA-2-21"</f>
        <v>S-TA-2-21</v>
      </c>
      <c r="AK35" t="str">
        <f>"30391"</f>
        <v>30391</v>
      </c>
      <c r="AL35" t="str">
        <f>"0596"</f>
        <v>0596</v>
      </c>
      <c r="AM35" t="str">
        <f>"ﾌﾟﾚｰﾄｵｲﾙﾘｻﾞｰﾊﾞｰﾛｯｸ"</f>
        <v>ﾌﾟﾚｰﾄｵｲﾙﾘｻﾞｰﾊﾞｰﾛｯｸ</v>
      </c>
      <c r="AN35" t="str">
        <f>"016"</f>
        <v>016</v>
      </c>
      <c r="AO35" t="str">
        <f>"TP-332 ﾊﾝﾖｳ"</f>
        <v>TP-332 ﾊﾝﾖｳ</v>
      </c>
      <c r="AP35">
        <v>20</v>
      </c>
      <c r="AQ35" t="str">
        <f>""</f>
        <v/>
      </c>
      <c r="AR35" t="str">
        <f>""</f>
        <v/>
      </c>
      <c r="AS35" t="str">
        <f>""</f>
        <v/>
      </c>
      <c r="AT35" t="str">
        <f t="shared" si="11"/>
        <v>00</v>
      </c>
      <c r="AU35">
        <v>0.5</v>
      </c>
      <c r="AV35" t="str">
        <f>""</f>
        <v/>
      </c>
      <c r="AW35" t="str">
        <f t="shared" ref="AW35:AW51" si="44">"08"</f>
        <v>08</v>
      </c>
      <c r="AX35" t="str">
        <f t="shared" ref="AX35:AX51" si="45">"専用"</f>
        <v>専用</v>
      </c>
      <c r="AY35" t="str">
        <f t="shared" ref="AY35:AY51" si="46">"01"</f>
        <v>01</v>
      </c>
      <c r="AZ35" t="str">
        <f t="shared" ref="AZ35:AZ51" si="47">"後補充"</f>
        <v>後補充</v>
      </c>
      <c r="BA35" t="str">
        <f>""</f>
        <v/>
      </c>
      <c r="BB35" t="str">
        <f>"ＴＰ３３２フタナシ"</f>
        <v>ＴＰ３３２フタナシ</v>
      </c>
      <c r="BC35" t="str">
        <f t="shared" si="25"/>
        <v xml:space="preserve"> 335.000</v>
      </c>
      <c r="BD35" t="str">
        <f t="shared" si="25"/>
        <v xml:space="preserve"> 335.000</v>
      </c>
      <c r="BE35" t="str">
        <f>" 195.000"</f>
        <v xml:space="preserve"> 195.000</v>
      </c>
      <c r="BF35" t="str">
        <f>"   0.022"</f>
        <v xml:space="preserve">   0.022</v>
      </c>
      <c r="BG35" t="str">
        <f>"   3.520"</f>
        <v xml:space="preserve">   3.520</v>
      </c>
      <c r="BH35" t="str">
        <f t="shared" si="12"/>
        <v>しない</v>
      </c>
      <c r="BI35" t="str">
        <f>""</f>
        <v/>
      </c>
      <c r="BJ35" t="str">
        <f t="shared" si="13"/>
        <v>MASTER01</v>
      </c>
      <c r="BK35" t="str">
        <f t="shared" ref="BK35:BK51" si="48">"2022/04/19"</f>
        <v>2022/04/19</v>
      </c>
      <c r="BL35" t="str">
        <f t="shared" si="14"/>
        <v>NE00</v>
      </c>
      <c r="BM35" t="str">
        <f t="shared" si="15"/>
        <v>１工工務Ｇ</v>
      </c>
      <c r="BN35" t="str">
        <f t="shared" si="28"/>
        <v>46548</v>
      </c>
      <c r="BO35" t="str">
        <f t="shared" si="29"/>
        <v>長畑　玲奈</v>
      </c>
    </row>
    <row r="36" spans="1:67">
      <c r="A36" t="s">
        <v>138</v>
      </c>
      <c r="B36" t="str">
        <f>""</f>
        <v/>
      </c>
      <c r="C36" t="str">
        <f>""</f>
        <v/>
      </c>
      <c r="D36" t="s">
        <v>20</v>
      </c>
      <c r="E36" t="str">
        <f t="shared" si="0"/>
        <v>1Y</v>
      </c>
      <c r="F36" t="str">
        <f t="shared" si="1"/>
        <v>第１工場</v>
      </c>
      <c r="G36" t="str">
        <f t="shared" si="2"/>
        <v>手配</v>
      </c>
      <c r="H36" t="str">
        <f t="shared" si="3"/>
        <v>Ｐ</v>
      </c>
      <c r="I36" t="str">
        <f>"0030"</f>
        <v>0030</v>
      </c>
      <c r="J36" t="str">
        <f>"（株）浅賀井製作所"</f>
        <v>（株）浅賀井製作所</v>
      </c>
      <c r="K36" t="str">
        <f t="shared" si="22"/>
        <v>01</v>
      </c>
      <c r="L36" t="str">
        <f>"安城工場"</f>
        <v>安城工場</v>
      </c>
      <c r="M36" t="str">
        <f t="shared" si="39"/>
        <v>――</v>
      </c>
      <c r="N36" t="str">
        <f t="shared" si="39"/>
        <v>――</v>
      </c>
      <c r="O36" t="str">
        <f t="shared" si="5"/>
        <v>Ｍ</v>
      </c>
      <c r="P36" t="str">
        <f t="shared" si="6"/>
        <v>01</v>
      </c>
      <c r="Q36" t="str">
        <f t="shared" si="7"/>
        <v>第１</v>
      </c>
      <c r="R36" t="str">
        <f t="shared" si="8"/>
        <v>1Y</v>
      </c>
      <c r="S36" t="str">
        <f t="shared" si="9"/>
        <v>安城第１工場</v>
      </c>
      <c r="T36" t="str">
        <f t="shared" si="10"/>
        <v>直接</v>
      </c>
      <c r="U36" t="str">
        <f>""</f>
        <v/>
      </c>
      <c r="V36" t="str">
        <f>""</f>
        <v/>
      </c>
      <c r="W36" t="str">
        <f>""</f>
        <v/>
      </c>
      <c r="X36">
        <v>1</v>
      </c>
      <c r="Y36">
        <v>4</v>
      </c>
      <c r="Z36">
        <v>6.88</v>
      </c>
      <c r="AA36">
        <v>1.08</v>
      </c>
      <c r="AB36">
        <v>3</v>
      </c>
      <c r="AC36">
        <v>1.08</v>
      </c>
      <c r="AD36">
        <v>1.08</v>
      </c>
      <c r="AE36">
        <v>1.1000000000000001</v>
      </c>
      <c r="AF36">
        <v>0.5</v>
      </c>
      <c r="AG36" t="str">
        <f>"098"</f>
        <v>098</v>
      </c>
      <c r="AH36" t="str">
        <f>"（株）浅賀井製作所"</f>
        <v>（株）浅賀井製作所</v>
      </c>
      <c r="AI36" t="str">
        <f>"003"</f>
        <v>003</v>
      </c>
      <c r="AJ36" t="str">
        <f>"M-MG-40"</f>
        <v>M-MG-40</v>
      </c>
      <c r="AK36" t="str">
        <f>"30392"</f>
        <v>30392</v>
      </c>
      <c r="AL36" t="str">
        <f>"0596"</f>
        <v>0596</v>
      </c>
      <c r="AM36" t="str">
        <f>"ﾌﾟﾚｰﾄｵｲﾙﾘｻﾞｰﾊﾞｰﾛｯｸ"</f>
        <v>ﾌﾟﾚｰﾄｵｲﾙﾘｻﾞｰﾊﾞｰﾛｯｸ</v>
      </c>
      <c r="AN36" t="str">
        <f>"016"</f>
        <v>016</v>
      </c>
      <c r="AO36" t="str">
        <f>"TP-332 ﾊﾝﾖｳ"</f>
        <v>TP-332 ﾊﾝﾖｳ</v>
      </c>
      <c r="AP36">
        <v>40</v>
      </c>
      <c r="AQ36" t="str">
        <f>""</f>
        <v/>
      </c>
      <c r="AR36" t="str">
        <f>""</f>
        <v/>
      </c>
      <c r="AS36" t="str">
        <f>""</f>
        <v/>
      </c>
      <c r="AT36" t="str">
        <f t="shared" si="11"/>
        <v>00</v>
      </c>
      <c r="AU36">
        <v>0.5</v>
      </c>
      <c r="AV36" t="str">
        <f>""</f>
        <v/>
      </c>
      <c r="AW36" t="str">
        <f t="shared" si="44"/>
        <v>08</v>
      </c>
      <c r="AX36" t="str">
        <f t="shared" si="45"/>
        <v>専用</v>
      </c>
      <c r="AY36" t="str">
        <f t="shared" si="46"/>
        <v>01</v>
      </c>
      <c r="AZ36" t="str">
        <f t="shared" si="47"/>
        <v>後補充</v>
      </c>
      <c r="BA36" t="str">
        <f>""</f>
        <v/>
      </c>
      <c r="BB36" t="str">
        <f>"ＴＰ３３２フタナシ"</f>
        <v>ＴＰ３３２フタナシ</v>
      </c>
      <c r="BC36" t="str">
        <f t="shared" si="25"/>
        <v xml:space="preserve"> 335.000</v>
      </c>
      <c r="BD36" t="str">
        <f t="shared" si="25"/>
        <v xml:space="preserve"> 335.000</v>
      </c>
      <c r="BE36" t="str">
        <f>" 195.000"</f>
        <v xml:space="preserve"> 195.000</v>
      </c>
      <c r="BF36" t="str">
        <f>"   0.022"</f>
        <v xml:space="preserve">   0.022</v>
      </c>
      <c r="BG36" t="str">
        <f>"   4.850"</f>
        <v xml:space="preserve">   4.850</v>
      </c>
      <c r="BH36" t="str">
        <f t="shared" si="12"/>
        <v>しない</v>
      </c>
      <c r="BI36" t="str">
        <f>""</f>
        <v/>
      </c>
      <c r="BJ36" t="str">
        <f t="shared" si="13"/>
        <v>MASTER01</v>
      </c>
      <c r="BK36" t="str">
        <f t="shared" si="48"/>
        <v>2022/04/19</v>
      </c>
      <c r="BL36" t="str">
        <f t="shared" si="14"/>
        <v>NE00</v>
      </c>
      <c r="BM36" t="str">
        <f t="shared" si="15"/>
        <v>１工工務Ｇ</v>
      </c>
      <c r="BN36" t="str">
        <f t="shared" si="28"/>
        <v>46548</v>
      </c>
      <c r="BO36" t="str">
        <f t="shared" si="29"/>
        <v>長畑　玲奈</v>
      </c>
    </row>
    <row r="37" spans="1:67">
      <c r="A37" t="s">
        <v>139</v>
      </c>
      <c r="B37" t="str">
        <f>""</f>
        <v/>
      </c>
      <c r="C37" t="str">
        <f>""</f>
        <v/>
      </c>
      <c r="D37" t="s">
        <v>20</v>
      </c>
      <c r="E37" t="str">
        <f t="shared" si="0"/>
        <v>1Y</v>
      </c>
      <c r="F37" t="str">
        <f t="shared" si="1"/>
        <v>第１工場</v>
      </c>
      <c r="G37" t="str">
        <f t="shared" si="2"/>
        <v>手配</v>
      </c>
      <c r="H37" t="str">
        <f t="shared" si="3"/>
        <v>Ｐ</v>
      </c>
      <c r="I37" t="str">
        <f>"0030"</f>
        <v>0030</v>
      </c>
      <c r="J37" t="str">
        <f>"（株）浅賀井製作所"</f>
        <v>（株）浅賀井製作所</v>
      </c>
      <c r="K37" t="str">
        <f t="shared" si="22"/>
        <v>01</v>
      </c>
      <c r="L37" t="str">
        <f>"安城工場"</f>
        <v>安城工場</v>
      </c>
      <c r="M37" t="str">
        <f t="shared" si="39"/>
        <v>――</v>
      </c>
      <c r="N37" t="str">
        <f t="shared" si="39"/>
        <v>――</v>
      </c>
      <c r="O37" t="str">
        <f t="shared" si="5"/>
        <v>Ｍ</v>
      </c>
      <c r="P37" t="str">
        <f t="shared" si="6"/>
        <v>01</v>
      </c>
      <c r="Q37" t="str">
        <f t="shared" si="7"/>
        <v>第１</v>
      </c>
      <c r="R37" t="str">
        <f t="shared" si="8"/>
        <v>1Y</v>
      </c>
      <c r="S37" t="str">
        <f t="shared" si="9"/>
        <v>安城第１工場</v>
      </c>
      <c r="T37" t="str">
        <f t="shared" si="10"/>
        <v>直接</v>
      </c>
      <c r="U37" t="str">
        <f>""</f>
        <v/>
      </c>
      <c r="V37" t="str">
        <f>""</f>
        <v/>
      </c>
      <c r="W37" t="str">
        <f>""</f>
        <v/>
      </c>
      <c r="X37">
        <v>1</v>
      </c>
      <c r="Y37">
        <v>4</v>
      </c>
      <c r="Z37">
        <v>6.88</v>
      </c>
      <c r="AA37">
        <v>1.08</v>
      </c>
      <c r="AB37">
        <v>3</v>
      </c>
      <c r="AC37">
        <v>1.08</v>
      </c>
      <c r="AD37">
        <v>1.08</v>
      </c>
      <c r="AE37">
        <v>1.1000000000000001</v>
      </c>
      <c r="AF37">
        <v>0.5</v>
      </c>
      <c r="AG37" t="str">
        <f>"098"</f>
        <v>098</v>
      </c>
      <c r="AH37" t="str">
        <f>"（株）浅賀井製作所"</f>
        <v>（株）浅賀井製作所</v>
      </c>
      <c r="AI37" t="str">
        <f>"004"</f>
        <v>004</v>
      </c>
      <c r="AJ37" t="str">
        <f>"S-G-26"</f>
        <v>S-G-26</v>
      </c>
      <c r="AK37" t="str">
        <f>"20393"</f>
        <v>20393</v>
      </c>
      <c r="AL37" t="str">
        <f>"0596"</f>
        <v>0596</v>
      </c>
      <c r="AM37" t="str">
        <f>"ﾌﾟﾚｰﾄｵｲﾙﾘｻﾞｰﾊﾞｰﾛｯｸ"</f>
        <v>ﾌﾟﾚｰﾄｵｲﾙﾘｻﾞｰﾊﾞｰﾛｯｸ</v>
      </c>
      <c r="AN37" t="str">
        <f>"014"</f>
        <v>014</v>
      </c>
      <c r="AO37" t="str">
        <f>"TP-331 ﾊﾝﾖｳ"</f>
        <v>TP-331 ﾊﾝﾖｳ</v>
      </c>
      <c r="AP37">
        <v>90</v>
      </c>
      <c r="AQ37" t="str">
        <f>""</f>
        <v/>
      </c>
      <c r="AR37" t="str">
        <f>""</f>
        <v/>
      </c>
      <c r="AS37" t="str">
        <f>""</f>
        <v/>
      </c>
      <c r="AT37" t="str">
        <f t="shared" si="11"/>
        <v>00</v>
      </c>
      <c r="AU37">
        <v>0.5</v>
      </c>
      <c r="AV37" t="str">
        <f>""</f>
        <v/>
      </c>
      <c r="AW37" t="str">
        <f t="shared" si="44"/>
        <v>08</v>
      </c>
      <c r="AX37" t="str">
        <f t="shared" si="45"/>
        <v>専用</v>
      </c>
      <c r="AY37" t="str">
        <f t="shared" si="46"/>
        <v>01</v>
      </c>
      <c r="AZ37" t="str">
        <f t="shared" si="47"/>
        <v>後補充</v>
      </c>
      <c r="BA37" t="str">
        <f>""</f>
        <v/>
      </c>
      <c r="BB37" t="str">
        <f>"ＴＰ３３１フタナシ"</f>
        <v>ＴＰ３３１フタナシ</v>
      </c>
      <c r="BC37" t="str">
        <f t="shared" si="25"/>
        <v xml:space="preserve"> 335.000</v>
      </c>
      <c r="BD37" t="str">
        <f t="shared" si="25"/>
        <v xml:space="preserve"> 335.000</v>
      </c>
      <c r="BE37" t="str">
        <f>" 103.000"</f>
        <v xml:space="preserve"> 103.000</v>
      </c>
      <c r="BF37" t="str">
        <f>"   0.012"</f>
        <v xml:space="preserve">   0.012</v>
      </c>
      <c r="BG37" t="str">
        <f>"   1.795"</f>
        <v xml:space="preserve">   1.795</v>
      </c>
      <c r="BH37" t="str">
        <f t="shared" si="12"/>
        <v>しない</v>
      </c>
      <c r="BI37" t="str">
        <f>""</f>
        <v/>
      </c>
      <c r="BJ37" t="str">
        <f t="shared" si="13"/>
        <v>MASTER01</v>
      </c>
      <c r="BK37" t="str">
        <f t="shared" si="48"/>
        <v>2022/04/19</v>
      </c>
      <c r="BL37" t="str">
        <f t="shared" si="14"/>
        <v>NE00</v>
      </c>
      <c r="BM37" t="str">
        <f t="shared" si="15"/>
        <v>１工工務Ｇ</v>
      </c>
      <c r="BN37" t="str">
        <f t="shared" si="28"/>
        <v>46548</v>
      </c>
      <c r="BO37" t="str">
        <f t="shared" si="29"/>
        <v>長畑　玲奈</v>
      </c>
    </row>
    <row r="38" spans="1:67">
      <c r="A38" t="s">
        <v>140</v>
      </c>
      <c r="B38" t="str">
        <f>""</f>
        <v/>
      </c>
      <c r="C38" t="str">
        <f>""</f>
        <v/>
      </c>
      <c r="D38" t="s">
        <v>21</v>
      </c>
      <c r="E38" t="str">
        <f t="shared" si="0"/>
        <v>1Y</v>
      </c>
      <c r="F38" t="str">
        <f t="shared" si="1"/>
        <v>第１工場</v>
      </c>
      <c r="G38" t="str">
        <f t="shared" si="2"/>
        <v>手配</v>
      </c>
      <c r="H38" t="str">
        <f t="shared" si="3"/>
        <v>Ｐ</v>
      </c>
      <c r="I38" t="str">
        <f>"0038"</f>
        <v>0038</v>
      </c>
      <c r="J38" t="str">
        <f>"（株）旭工業所"</f>
        <v>（株）旭工業所</v>
      </c>
      <c r="K38" t="str">
        <f t="shared" si="22"/>
        <v>01</v>
      </c>
      <c r="L38" t="str">
        <f>"本社工場"</f>
        <v>本社工場</v>
      </c>
      <c r="M38" t="str">
        <f t="shared" si="39"/>
        <v>――</v>
      </c>
      <c r="N38" t="str">
        <f t="shared" si="39"/>
        <v>――</v>
      </c>
      <c r="O38" t="str">
        <f t="shared" si="5"/>
        <v>Ｍ</v>
      </c>
      <c r="P38" t="str">
        <f t="shared" si="6"/>
        <v>01</v>
      </c>
      <c r="Q38" t="str">
        <f t="shared" si="7"/>
        <v>第１</v>
      </c>
      <c r="R38" t="str">
        <f t="shared" si="8"/>
        <v>1Y</v>
      </c>
      <c r="S38" t="str">
        <f t="shared" si="9"/>
        <v>安城第１工場</v>
      </c>
      <c r="T38" t="str">
        <f t="shared" si="10"/>
        <v>直接</v>
      </c>
      <c r="U38" t="str">
        <f>""</f>
        <v/>
      </c>
      <c r="V38" t="str">
        <f>""</f>
        <v/>
      </c>
      <c r="W38" t="str">
        <f>""</f>
        <v/>
      </c>
      <c r="X38">
        <v>1</v>
      </c>
      <c r="Y38">
        <v>1</v>
      </c>
      <c r="Z38">
        <v>1.9</v>
      </c>
      <c r="AA38">
        <v>1.04</v>
      </c>
      <c r="AB38">
        <v>3</v>
      </c>
      <c r="AC38">
        <v>1.04</v>
      </c>
      <c r="AD38">
        <v>1.04</v>
      </c>
      <c r="AE38">
        <v>1.1000000000000001</v>
      </c>
      <c r="AF38">
        <v>0.5</v>
      </c>
      <c r="AG38" t="str">
        <f>"007"</f>
        <v>007</v>
      </c>
      <c r="AH38" t="str">
        <f>"（株）旭工業所"</f>
        <v>（株）旭工業所</v>
      </c>
      <c r="AI38" t="str">
        <f>"001"</f>
        <v>001</v>
      </c>
      <c r="AJ38" t="str">
        <f>"S-G-29"</f>
        <v>S-G-29</v>
      </c>
      <c r="AK38" t="str">
        <f>"20359"</f>
        <v>20359</v>
      </c>
      <c r="AL38" t="str">
        <f>"0374"</f>
        <v>0374</v>
      </c>
      <c r="AM38" t="s">
        <v>22</v>
      </c>
      <c r="AN38" t="str">
        <f>"014"</f>
        <v>014</v>
      </c>
      <c r="AO38" t="str">
        <f>"TP-331 ﾊﾝﾖｳ"</f>
        <v>TP-331 ﾊﾝﾖｳ</v>
      </c>
      <c r="AP38">
        <v>63</v>
      </c>
      <c r="AQ38" t="str">
        <f>""</f>
        <v/>
      </c>
      <c r="AR38" t="str">
        <f>""</f>
        <v/>
      </c>
      <c r="AS38" t="str">
        <f>""</f>
        <v/>
      </c>
      <c r="AT38" t="str">
        <f t="shared" si="11"/>
        <v>00</v>
      </c>
      <c r="AU38">
        <v>0.5</v>
      </c>
      <c r="AV38" t="str">
        <f>""</f>
        <v/>
      </c>
      <c r="AW38" t="str">
        <f t="shared" si="44"/>
        <v>08</v>
      </c>
      <c r="AX38" t="str">
        <f t="shared" si="45"/>
        <v>専用</v>
      </c>
      <c r="AY38" t="str">
        <f t="shared" si="46"/>
        <v>01</v>
      </c>
      <c r="AZ38" t="str">
        <f t="shared" si="47"/>
        <v>後補充</v>
      </c>
      <c r="BA38" t="str">
        <f>""</f>
        <v/>
      </c>
      <c r="BB38" t="str">
        <f>"ＴＰ３３１フタアリ"</f>
        <v>ＴＰ３３１フタアリ</v>
      </c>
      <c r="BC38" t="str">
        <f t="shared" si="25"/>
        <v xml:space="preserve"> 335.000</v>
      </c>
      <c r="BD38" t="str">
        <f t="shared" si="25"/>
        <v xml:space="preserve"> 335.000</v>
      </c>
      <c r="BE38" t="str">
        <f>" 124.000"</f>
        <v xml:space="preserve"> 124.000</v>
      </c>
      <c r="BF38" t="str">
        <f>"   0.014"</f>
        <v xml:space="preserve">   0.014</v>
      </c>
      <c r="BG38" t="str">
        <f>"   4.718"</f>
        <v xml:space="preserve">   4.718</v>
      </c>
      <c r="BH38" t="str">
        <f t="shared" si="12"/>
        <v>しない</v>
      </c>
      <c r="BI38" t="str">
        <f>""</f>
        <v/>
      </c>
      <c r="BJ38" t="str">
        <f t="shared" si="13"/>
        <v>MASTER01</v>
      </c>
      <c r="BK38" t="str">
        <f t="shared" si="48"/>
        <v>2022/04/19</v>
      </c>
      <c r="BL38" t="str">
        <f t="shared" si="14"/>
        <v>NE00</v>
      </c>
      <c r="BM38" t="str">
        <f t="shared" si="15"/>
        <v>１工工務Ｇ</v>
      </c>
      <c r="BN38" t="str">
        <f t="shared" si="28"/>
        <v>46548</v>
      </c>
      <c r="BO38" t="str">
        <f t="shared" si="29"/>
        <v>長畑　玲奈</v>
      </c>
    </row>
    <row r="39" spans="1:67">
      <c r="A39" t="s">
        <v>141</v>
      </c>
      <c r="B39" t="str">
        <f>""</f>
        <v/>
      </c>
      <c r="C39" t="str">
        <f>""</f>
        <v/>
      </c>
      <c r="D39" t="s">
        <v>23</v>
      </c>
      <c r="E39" t="str">
        <f t="shared" si="0"/>
        <v>1Y</v>
      </c>
      <c r="F39" t="str">
        <f t="shared" si="1"/>
        <v>第１工場</v>
      </c>
      <c r="G39" t="str">
        <f t="shared" si="2"/>
        <v>手配</v>
      </c>
      <c r="H39" t="str">
        <f t="shared" si="3"/>
        <v>Ｐ</v>
      </c>
      <c r="I39" t="str">
        <f>"0155"</f>
        <v>0155</v>
      </c>
      <c r="J39" t="str">
        <f>"愛産樹脂工業（株）"</f>
        <v>愛産樹脂工業（株）</v>
      </c>
      <c r="K39" t="str">
        <f t="shared" si="22"/>
        <v>01</v>
      </c>
      <c r="L39" t="str">
        <f>"本社工場"</f>
        <v>本社工場</v>
      </c>
      <c r="M39" t="str">
        <f t="shared" si="39"/>
        <v>――</v>
      </c>
      <c r="N39" t="str">
        <f t="shared" si="39"/>
        <v>――</v>
      </c>
      <c r="O39" t="str">
        <f t="shared" si="5"/>
        <v>Ｍ</v>
      </c>
      <c r="P39" t="str">
        <f t="shared" si="6"/>
        <v>01</v>
      </c>
      <c r="Q39" t="str">
        <f t="shared" si="7"/>
        <v>第１</v>
      </c>
      <c r="R39" t="str">
        <f t="shared" si="8"/>
        <v>1Y</v>
      </c>
      <c r="S39" t="str">
        <f t="shared" si="9"/>
        <v>安城第１工場</v>
      </c>
      <c r="T39" t="str">
        <f t="shared" si="10"/>
        <v>直接</v>
      </c>
      <c r="U39" t="str">
        <f>""</f>
        <v/>
      </c>
      <c r="V39" t="str">
        <f>""</f>
        <v/>
      </c>
      <c r="W39" t="str">
        <f>""</f>
        <v/>
      </c>
      <c r="X39">
        <v>1</v>
      </c>
      <c r="Y39">
        <v>1</v>
      </c>
      <c r="Z39">
        <v>2.12</v>
      </c>
      <c r="AA39">
        <v>0.88</v>
      </c>
      <c r="AB39">
        <v>3</v>
      </c>
      <c r="AC39">
        <v>0.88</v>
      </c>
      <c r="AD39">
        <v>0.88</v>
      </c>
      <c r="AE39">
        <v>1.1000000000000001</v>
      </c>
      <c r="AF39">
        <v>0.5</v>
      </c>
      <c r="AG39" t="str">
        <f>"920"</f>
        <v>920</v>
      </c>
      <c r="AH39" t="str">
        <f>"愛産樹脂工業（株）"</f>
        <v>愛産樹脂工業（株）</v>
      </c>
      <c r="AI39" t="str">
        <f>"901"</f>
        <v>901</v>
      </c>
      <c r="AJ39" t="str">
        <f>"F1-5"</f>
        <v>F1-5</v>
      </c>
      <c r="AK39" t="str">
        <f>"50491"</f>
        <v>50491</v>
      </c>
      <c r="AL39" t="str">
        <f>"9998"</f>
        <v>9998</v>
      </c>
      <c r="AM39" t="str">
        <f>"ｷｬｯﾌﾟｼｯﾋﾟﾝｸﾞ"</f>
        <v>ｷｬｯﾌﾟｼｯﾋﾟﾝｸﾞ</v>
      </c>
      <c r="AN39" t="str">
        <f>"018"</f>
        <v>018</v>
      </c>
      <c r="AO39" t="str">
        <f>"TP-342 ﾊﾝﾖｳ"</f>
        <v>TP-342 ﾊﾝﾖｳ</v>
      </c>
      <c r="AP39">
        <v>50</v>
      </c>
      <c r="AQ39" t="str">
        <f>""</f>
        <v/>
      </c>
      <c r="AR39" t="str">
        <f>""</f>
        <v/>
      </c>
      <c r="AS39" t="str">
        <f>""</f>
        <v/>
      </c>
      <c r="AT39" t="str">
        <f t="shared" si="11"/>
        <v>00</v>
      </c>
      <c r="AU39">
        <v>0.5</v>
      </c>
      <c r="AV39" t="str">
        <f>""</f>
        <v/>
      </c>
      <c r="AW39" t="str">
        <f t="shared" si="44"/>
        <v>08</v>
      </c>
      <c r="AX39" t="str">
        <f t="shared" si="45"/>
        <v>専用</v>
      </c>
      <c r="AY39" t="str">
        <f t="shared" si="46"/>
        <v>01</v>
      </c>
      <c r="AZ39" t="str">
        <f t="shared" si="47"/>
        <v>後補充</v>
      </c>
      <c r="BA39" t="str">
        <f>""</f>
        <v/>
      </c>
      <c r="BB39" t="str">
        <f>"ＴＰ３４２フタナシ"</f>
        <v>ＴＰ３４２フタナシ</v>
      </c>
      <c r="BC39" t="str">
        <f t="shared" si="25"/>
        <v xml:space="preserve"> 335.000</v>
      </c>
      <c r="BD39" t="str">
        <f>" 503.000"</f>
        <v xml:space="preserve"> 503.000</v>
      </c>
      <c r="BE39" t="str">
        <f>" 195.000"</f>
        <v xml:space="preserve"> 195.000</v>
      </c>
      <c r="BF39" t="str">
        <f>"   0.033"</f>
        <v xml:space="preserve">   0.033</v>
      </c>
      <c r="BG39" t="str">
        <f>"   3.440"</f>
        <v xml:space="preserve">   3.440</v>
      </c>
      <c r="BH39" t="str">
        <f t="shared" si="12"/>
        <v>しない</v>
      </c>
      <c r="BI39" t="str">
        <f>""</f>
        <v/>
      </c>
      <c r="BJ39" t="str">
        <f t="shared" si="13"/>
        <v>MASTER01</v>
      </c>
      <c r="BK39" t="str">
        <f t="shared" si="48"/>
        <v>2022/04/19</v>
      </c>
      <c r="BL39" t="str">
        <f t="shared" si="14"/>
        <v>NE00</v>
      </c>
      <c r="BM39" t="str">
        <f t="shared" si="15"/>
        <v>１工工務Ｇ</v>
      </c>
      <c r="BN39" t="str">
        <f t="shared" si="28"/>
        <v>46548</v>
      </c>
      <c r="BO39" t="str">
        <f t="shared" si="29"/>
        <v>長畑　玲奈</v>
      </c>
    </row>
    <row r="40" spans="1:67">
      <c r="A40" t="s">
        <v>142</v>
      </c>
      <c r="B40" t="str">
        <f>""</f>
        <v/>
      </c>
      <c r="C40" t="str">
        <f>""</f>
        <v/>
      </c>
      <c r="D40" t="s">
        <v>23</v>
      </c>
      <c r="E40" t="str">
        <f t="shared" si="0"/>
        <v>1Y</v>
      </c>
      <c r="F40" t="str">
        <f t="shared" si="1"/>
        <v>第１工場</v>
      </c>
      <c r="G40" t="str">
        <f t="shared" si="2"/>
        <v>手配</v>
      </c>
      <c r="H40" t="str">
        <f t="shared" si="3"/>
        <v>Ｐ</v>
      </c>
      <c r="I40" t="str">
        <f t="shared" ref="I40:I49" si="49">"0208"</f>
        <v>0208</v>
      </c>
      <c r="J40" t="str">
        <f t="shared" ref="J40:J49" si="50">"石黒ゴム工業（株）"</f>
        <v>石黒ゴム工業（株）</v>
      </c>
      <c r="K40" t="str">
        <f t="shared" si="22"/>
        <v>01</v>
      </c>
      <c r="L40" t="str">
        <f>""</f>
        <v/>
      </c>
      <c r="M40" t="str">
        <f t="shared" si="39"/>
        <v>――</v>
      </c>
      <c r="N40" t="str">
        <f t="shared" si="39"/>
        <v>――</v>
      </c>
      <c r="O40" t="str">
        <f t="shared" si="5"/>
        <v>Ｍ</v>
      </c>
      <c r="P40" t="str">
        <f t="shared" si="6"/>
        <v>01</v>
      </c>
      <c r="Q40" t="str">
        <f t="shared" si="7"/>
        <v>第１</v>
      </c>
      <c r="R40" t="str">
        <f t="shared" si="8"/>
        <v>1Y</v>
      </c>
      <c r="S40" t="str">
        <f t="shared" si="9"/>
        <v>安城第１工場</v>
      </c>
      <c r="T40" t="str">
        <f t="shared" si="10"/>
        <v>直接</v>
      </c>
      <c r="U40" t="str">
        <f>""</f>
        <v/>
      </c>
      <c r="V40" t="str">
        <f>""</f>
        <v/>
      </c>
      <c r="W40" t="str">
        <f>""</f>
        <v/>
      </c>
      <c r="X40">
        <v>1</v>
      </c>
      <c r="Y40">
        <v>2</v>
      </c>
      <c r="Z40">
        <v>3.64</v>
      </c>
      <c r="AA40">
        <v>1.28</v>
      </c>
      <c r="AB40">
        <v>3</v>
      </c>
      <c r="AC40">
        <v>1.28</v>
      </c>
      <c r="AD40">
        <v>1.28</v>
      </c>
      <c r="AE40">
        <v>1.1000000000000001</v>
      </c>
      <c r="AF40">
        <v>0.5</v>
      </c>
      <c r="AG40" t="str">
        <f t="shared" ref="AG40:AG49" si="51">"010"</f>
        <v>010</v>
      </c>
      <c r="AH40" t="str">
        <f t="shared" ref="AH40:AH49" si="52">"石黒ゴム工業（株）"</f>
        <v>石黒ゴム工業（株）</v>
      </c>
      <c r="AI40" t="str">
        <f>"001"</f>
        <v>001</v>
      </c>
      <c r="AJ40" t="str">
        <f>"F1-4"</f>
        <v>F1-4</v>
      </c>
      <c r="AK40" t="str">
        <f>"50460"</f>
        <v>50460</v>
      </c>
      <c r="AL40" t="str">
        <f>"0274"</f>
        <v>0274</v>
      </c>
      <c r="AM40" t="str">
        <f>"ｷﾔﾂﾌﾟｼﾂﾋﾟﾝｸﾞ"</f>
        <v>ｷﾔﾂﾌﾟｼﾂﾋﾟﾝｸﾞ</v>
      </c>
      <c r="AN40" t="str">
        <f>"018"</f>
        <v>018</v>
      </c>
      <c r="AO40" t="str">
        <f>"TP-342 ﾊﾝﾖｳ"</f>
        <v>TP-342 ﾊﾝﾖｳ</v>
      </c>
      <c r="AP40">
        <v>50</v>
      </c>
      <c r="AQ40" t="str">
        <f>""</f>
        <v/>
      </c>
      <c r="AR40" t="str">
        <f>""</f>
        <v/>
      </c>
      <c r="AS40" t="str">
        <f>""</f>
        <v/>
      </c>
      <c r="AT40" t="str">
        <f t="shared" si="11"/>
        <v>00</v>
      </c>
      <c r="AU40">
        <v>0.5</v>
      </c>
      <c r="AV40" t="str">
        <f>""</f>
        <v/>
      </c>
      <c r="AW40" t="str">
        <f t="shared" si="44"/>
        <v>08</v>
      </c>
      <c r="AX40" t="str">
        <f t="shared" si="45"/>
        <v>専用</v>
      </c>
      <c r="AY40" t="str">
        <f t="shared" si="46"/>
        <v>01</v>
      </c>
      <c r="AZ40" t="str">
        <f t="shared" si="47"/>
        <v>後補充</v>
      </c>
      <c r="BA40" t="str">
        <f>""</f>
        <v/>
      </c>
      <c r="BB40" t="str">
        <f>"ＴＰ３４２フタナシ"</f>
        <v>ＴＰ３４２フタナシ</v>
      </c>
      <c r="BC40" t="str">
        <f>" 503.000"</f>
        <v xml:space="preserve"> 503.000</v>
      </c>
      <c r="BD40" t="str">
        <f>" 335.000"</f>
        <v xml:space="preserve"> 335.000</v>
      </c>
      <c r="BE40" t="str">
        <f>" 195.000"</f>
        <v xml:space="preserve"> 195.000</v>
      </c>
      <c r="BF40" t="str">
        <f>"   0.033"</f>
        <v xml:space="preserve">   0.033</v>
      </c>
      <c r="BG40" t="str">
        <f>"   2.110"</f>
        <v xml:space="preserve">   2.110</v>
      </c>
      <c r="BH40" t="str">
        <f t="shared" si="12"/>
        <v>しない</v>
      </c>
      <c r="BI40" t="str">
        <f>""</f>
        <v/>
      </c>
      <c r="BJ40" t="str">
        <f t="shared" si="13"/>
        <v>MASTER01</v>
      </c>
      <c r="BK40" t="str">
        <f t="shared" si="48"/>
        <v>2022/04/19</v>
      </c>
      <c r="BL40" t="str">
        <f t="shared" si="14"/>
        <v>NE00</v>
      </c>
      <c r="BM40" t="str">
        <f t="shared" si="15"/>
        <v>１工工務Ｇ</v>
      </c>
      <c r="BN40" t="str">
        <f t="shared" si="28"/>
        <v>46548</v>
      </c>
      <c r="BO40" t="str">
        <f t="shared" si="29"/>
        <v>長畑　玲奈</v>
      </c>
    </row>
    <row r="41" spans="1:67">
      <c r="A41" t="s">
        <v>143</v>
      </c>
      <c r="B41" t="str">
        <f>""</f>
        <v/>
      </c>
      <c r="C41" t="str">
        <f>""</f>
        <v/>
      </c>
      <c r="D41" t="s">
        <v>23</v>
      </c>
      <c r="E41" t="str">
        <f t="shared" si="0"/>
        <v>1Y</v>
      </c>
      <c r="F41" t="str">
        <f t="shared" si="1"/>
        <v>第１工場</v>
      </c>
      <c r="G41" t="str">
        <f t="shared" si="2"/>
        <v>手配</v>
      </c>
      <c r="H41" t="str">
        <f t="shared" si="3"/>
        <v>Ｐ</v>
      </c>
      <c r="I41" t="str">
        <f t="shared" si="49"/>
        <v>0208</v>
      </c>
      <c r="J41" t="str">
        <f t="shared" si="50"/>
        <v>石黒ゴム工業（株）</v>
      </c>
      <c r="K41" t="str">
        <f t="shared" si="22"/>
        <v>01</v>
      </c>
      <c r="L41" t="str">
        <f>""</f>
        <v/>
      </c>
      <c r="M41" t="str">
        <f t="shared" si="39"/>
        <v>――</v>
      </c>
      <c r="N41" t="str">
        <f t="shared" si="39"/>
        <v>――</v>
      </c>
      <c r="O41" t="str">
        <f t="shared" si="5"/>
        <v>Ｍ</v>
      </c>
      <c r="P41" t="str">
        <f t="shared" si="6"/>
        <v>01</v>
      </c>
      <c r="Q41" t="str">
        <f t="shared" si="7"/>
        <v>第１</v>
      </c>
      <c r="R41" t="str">
        <f t="shared" si="8"/>
        <v>1Y</v>
      </c>
      <c r="S41" t="str">
        <f t="shared" si="9"/>
        <v>安城第１工場</v>
      </c>
      <c r="T41" t="str">
        <f t="shared" si="10"/>
        <v>直接</v>
      </c>
      <c r="U41" t="str">
        <f>""</f>
        <v/>
      </c>
      <c r="V41" t="str">
        <f>""</f>
        <v/>
      </c>
      <c r="W41" t="str">
        <f>""</f>
        <v/>
      </c>
      <c r="X41">
        <v>1</v>
      </c>
      <c r="Y41">
        <v>2</v>
      </c>
      <c r="Z41">
        <v>3.64</v>
      </c>
      <c r="AA41">
        <v>1.28</v>
      </c>
      <c r="AB41">
        <v>3</v>
      </c>
      <c r="AC41">
        <v>1.28</v>
      </c>
      <c r="AD41">
        <v>1.28</v>
      </c>
      <c r="AE41">
        <v>1.1000000000000001</v>
      </c>
      <c r="AF41">
        <v>0.5</v>
      </c>
      <c r="AG41" t="str">
        <f t="shared" si="51"/>
        <v>010</v>
      </c>
      <c r="AH41" t="str">
        <f t="shared" si="52"/>
        <v>石黒ゴム工業（株）</v>
      </c>
      <c r="AI41" t="str">
        <f>"002"</f>
        <v>002</v>
      </c>
      <c r="AJ41" t="str">
        <f>"C1-4"</f>
        <v>C1-4</v>
      </c>
      <c r="AK41" t="str">
        <f>"30464"</f>
        <v>30464</v>
      </c>
      <c r="AL41" t="str">
        <f>"9998"</f>
        <v>9998</v>
      </c>
      <c r="AM41" t="str">
        <f>"ｷｬｯﾌﾟｼｯﾋﾟﾝｸﾞ"</f>
        <v>ｷｬｯﾌﾟｼｯﾋﾟﾝｸﾞ</v>
      </c>
      <c r="AN41" t="str">
        <f>"016"</f>
        <v>016</v>
      </c>
      <c r="AO41" t="str">
        <f>"TP-332 ﾊﾝﾖｳ"</f>
        <v>TP-332 ﾊﾝﾖｳ</v>
      </c>
      <c r="AP41">
        <v>300</v>
      </c>
      <c r="AQ41" t="str">
        <f>""</f>
        <v/>
      </c>
      <c r="AR41" t="str">
        <f>""</f>
        <v/>
      </c>
      <c r="AS41" t="str">
        <f>""</f>
        <v/>
      </c>
      <c r="AT41" t="str">
        <f t="shared" si="11"/>
        <v>00</v>
      </c>
      <c r="AU41">
        <v>0.5</v>
      </c>
      <c r="AV41" t="str">
        <f>""</f>
        <v/>
      </c>
      <c r="AW41" t="str">
        <f t="shared" si="44"/>
        <v>08</v>
      </c>
      <c r="AX41" t="str">
        <f t="shared" si="45"/>
        <v>専用</v>
      </c>
      <c r="AY41" t="str">
        <f t="shared" si="46"/>
        <v>01</v>
      </c>
      <c r="AZ41" t="str">
        <f t="shared" si="47"/>
        <v>後補充</v>
      </c>
      <c r="BA41" t="str">
        <f>""</f>
        <v/>
      </c>
      <c r="BB41" t="str">
        <f>"ＴＰ３３２フタナシ"</f>
        <v>ＴＰ３３２フタナシ</v>
      </c>
      <c r="BC41" t="str">
        <f>" 335.000"</f>
        <v xml:space="preserve"> 335.000</v>
      </c>
      <c r="BD41" t="str">
        <f>" 335.000"</f>
        <v xml:space="preserve"> 335.000</v>
      </c>
      <c r="BE41" t="str">
        <f>" 195.000"</f>
        <v xml:space="preserve"> 195.000</v>
      </c>
      <c r="BF41" t="str">
        <f>"   0.022"</f>
        <v xml:space="preserve">   0.022</v>
      </c>
      <c r="BG41" t="str">
        <f>"   3.210"</f>
        <v xml:space="preserve">   3.210</v>
      </c>
      <c r="BH41" t="str">
        <f t="shared" si="12"/>
        <v>しない</v>
      </c>
      <c r="BI41" t="str">
        <f>""</f>
        <v/>
      </c>
      <c r="BJ41" t="str">
        <f t="shared" si="13"/>
        <v>MASTER01</v>
      </c>
      <c r="BK41" t="str">
        <f t="shared" si="48"/>
        <v>2022/04/19</v>
      </c>
      <c r="BL41" t="str">
        <f t="shared" si="14"/>
        <v>NE00</v>
      </c>
      <c r="BM41" t="str">
        <f t="shared" si="15"/>
        <v>１工工務Ｇ</v>
      </c>
      <c r="BN41" t="str">
        <f t="shared" si="28"/>
        <v>46548</v>
      </c>
      <c r="BO41" t="str">
        <f t="shared" si="29"/>
        <v>長畑　玲奈</v>
      </c>
    </row>
    <row r="42" spans="1:67">
      <c r="A42" t="s">
        <v>144</v>
      </c>
      <c r="B42" t="str">
        <f>""</f>
        <v/>
      </c>
      <c r="C42" t="str">
        <f>""</f>
        <v/>
      </c>
      <c r="D42" t="s">
        <v>24</v>
      </c>
      <c r="E42" t="str">
        <f t="shared" si="0"/>
        <v>1Y</v>
      </c>
      <c r="F42" t="str">
        <f t="shared" si="1"/>
        <v>第１工場</v>
      </c>
      <c r="G42" t="str">
        <f t="shared" si="2"/>
        <v>手配</v>
      </c>
      <c r="H42" t="str">
        <f t="shared" si="3"/>
        <v>Ｐ</v>
      </c>
      <c r="I42" t="str">
        <f t="shared" si="49"/>
        <v>0208</v>
      </c>
      <c r="J42" t="str">
        <f t="shared" si="50"/>
        <v>石黒ゴム工業（株）</v>
      </c>
      <c r="K42" t="str">
        <f t="shared" si="22"/>
        <v>01</v>
      </c>
      <c r="L42" t="str">
        <f>""</f>
        <v/>
      </c>
      <c r="M42" t="str">
        <f t="shared" ref="M42:N61" si="53">"――"</f>
        <v>――</v>
      </c>
      <c r="N42" t="str">
        <f t="shared" si="53"/>
        <v>――</v>
      </c>
      <c r="O42" t="str">
        <f t="shared" si="5"/>
        <v>Ｍ</v>
      </c>
      <c r="P42" t="str">
        <f t="shared" si="6"/>
        <v>01</v>
      </c>
      <c r="Q42" t="str">
        <f t="shared" si="7"/>
        <v>第１</v>
      </c>
      <c r="R42" t="str">
        <f t="shared" si="8"/>
        <v>1Y</v>
      </c>
      <c r="S42" t="str">
        <f t="shared" si="9"/>
        <v>安城第１工場</v>
      </c>
      <c r="T42" t="str">
        <f t="shared" si="10"/>
        <v>直接</v>
      </c>
      <c r="U42" t="str">
        <f>""</f>
        <v/>
      </c>
      <c r="V42" t="str">
        <f>""</f>
        <v/>
      </c>
      <c r="W42" t="str">
        <f>""</f>
        <v/>
      </c>
      <c r="X42">
        <v>1</v>
      </c>
      <c r="Y42">
        <v>2</v>
      </c>
      <c r="Z42">
        <v>3.64</v>
      </c>
      <c r="AA42">
        <v>1.28</v>
      </c>
      <c r="AB42">
        <v>3</v>
      </c>
      <c r="AC42">
        <v>1.28</v>
      </c>
      <c r="AD42">
        <v>1.28</v>
      </c>
      <c r="AE42">
        <v>1.1000000000000001</v>
      </c>
      <c r="AF42">
        <v>0.5</v>
      </c>
      <c r="AG42" t="str">
        <f t="shared" si="51"/>
        <v>010</v>
      </c>
      <c r="AH42" t="str">
        <f t="shared" si="52"/>
        <v>石黒ゴム工業（株）</v>
      </c>
      <c r="AI42" t="str">
        <f>"003"</f>
        <v>003</v>
      </c>
      <c r="AJ42" t="str">
        <f>"C1-10"</f>
        <v>C1-10</v>
      </c>
      <c r="AK42" t="str">
        <f>"30462"</f>
        <v>30462</v>
      </c>
      <c r="AL42" t="str">
        <f t="shared" ref="AL42:AL49" si="54">"0383"</f>
        <v>0383</v>
      </c>
      <c r="AM42" t="str">
        <f t="shared" ref="AM42:AM49" si="55">"ｶﾊﾞ-ｺﾈｸﾀ-"</f>
        <v>ｶﾊﾞ-ｺﾈｸﾀ-</v>
      </c>
      <c r="AN42" t="str">
        <f>"016"</f>
        <v>016</v>
      </c>
      <c r="AO42" t="str">
        <f>"TP-332 ﾊﾝﾖｳ"</f>
        <v>TP-332 ﾊﾝﾖｳ</v>
      </c>
      <c r="AP42">
        <v>200</v>
      </c>
      <c r="AQ42" t="str">
        <f>""</f>
        <v/>
      </c>
      <c r="AR42" t="str">
        <f>""</f>
        <v/>
      </c>
      <c r="AS42" t="str">
        <f>""</f>
        <v/>
      </c>
      <c r="AT42" t="str">
        <f t="shared" si="11"/>
        <v>00</v>
      </c>
      <c r="AU42">
        <v>0.5</v>
      </c>
      <c r="AV42" t="str">
        <f>""</f>
        <v/>
      </c>
      <c r="AW42" t="str">
        <f t="shared" si="44"/>
        <v>08</v>
      </c>
      <c r="AX42" t="str">
        <f t="shared" si="45"/>
        <v>専用</v>
      </c>
      <c r="AY42" t="str">
        <f t="shared" si="46"/>
        <v>01</v>
      </c>
      <c r="AZ42" t="str">
        <f t="shared" si="47"/>
        <v>後補充</v>
      </c>
      <c r="BA42" t="str">
        <f>""</f>
        <v/>
      </c>
      <c r="BB42" t="str">
        <f>"ＴＰ３３２フタナシ"</f>
        <v>ＴＰ３３２フタナシ</v>
      </c>
      <c r="BC42" t="str">
        <f>" 335.000"</f>
        <v xml:space="preserve"> 335.000</v>
      </c>
      <c r="BD42" t="str">
        <f>" 335.000"</f>
        <v xml:space="preserve"> 335.000</v>
      </c>
      <c r="BE42" t="str">
        <f>" 195.000"</f>
        <v xml:space="preserve"> 195.000</v>
      </c>
      <c r="BF42" t="str">
        <f>"   0.022"</f>
        <v xml:space="preserve">   0.022</v>
      </c>
      <c r="BG42" t="str">
        <f>"   1.420"</f>
        <v xml:space="preserve">   1.420</v>
      </c>
      <c r="BH42" t="str">
        <f t="shared" si="12"/>
        <v>しない</v>
      </c>
      <c r="BI42" t="str">
        <f>""</f>
        <v/>
      </c>
      <c r="BJ42" t="str">
        <f t="shared" si="13"/>
        <v>MASTER01</v>
      </c>
      <c r="BK42" t="str">
        <f t="shared" si="48"/>
        <v>2022/04/19</v>
      </c>
      <c r="BL42" t="str">
        <f t="shared" si="14"/>
        <v>NE00</v>
      </c>
      <c r="BM42" t="str">
        <f t="shared" si="15"/>
        <v>１工工務Ｇ</v>
      </c>
      <c r="BN42" t="str">
        <f t="shared" si="28"/>
        <v>46548</v>
      </c>
      <c r="BO42" t="str">
        <f t="shared" si="29"/>
        <v>長畑　玲奈</v>
      </c>
    </row>
    <row r="43" spans="1:67">
      <c r="A43" t="s">
        <v>145</v>
      </c>
      <c r="B43" t="str">
        <f>""</f>
        <v/>
      </c>
      <c r="C43" t="str">
        <f>""</f>
        <v/>
      </c>
      <c r="D43" t="s">
        <v>24</v>
      </c>
      <c r="E43" t="str">
        <f t="shared" si="0"/>
        <v>1Y</v>
      </c>
      <c r="F43" t="str">
        <f t="shared" si="1"/>
        <v>第１工場</v>
      </c>
      <c r="G43" t="str">
        <f t="shared" si="2"/>
        <v>手配</v>
      </c>
      <c r="H43" t="str">
        <f t="shared" si="3"/>
        <v>Ｐ</v>
      </c>
      <c r="I43" t="str">
        <f t="shared" si="49"/>
        <v>0208</v>
      </c>
      <c r="J43" t="str">
        <f t="shared" si="50"/>
        <v>石黒ゴム工業（株）</v>
      </c>
      <c r="K43" t="str">
        <f t="shared" si="22"/>
        <v>01</v>
      </c>
      <c r="L43" t="str">
        <f>""</f>
        <v/>
      </c>
      <c r="M43" t="str">
        <f t="shared" si="53"/>
        <v>――</v>
      </c>
      <c r="N43" t="str">
        <f t="shared" si="53"/>
        <v>――</v>
      </c>
      <c r="O43" t="str">
        <f t="shared" si="5"/>
        <v>Ｍ</v>
      </c>
      <c r="P43" t="str">
        <f t="shared" si="6"/>
        <v>01</v>
      </c>
      <c r="Q43" t="str">
        <f t="shared" si="7"/>
        <v>第１</v>
      </c>
      <c r="R43" t="str">
        <f t="shared" si="8"/>
        <v>1Y</v>
      </c>
      <c r="S43" t="str">
        <f t="shared" si="9"/>
        <v>安城第１工場</v>
      </c>
      <c r="T43" t="str">
        <f t="shared" si="10"/>
        <v>直接</v>
      </c>
      <c r="U43" t="str">
        <f>""</f>
        <v/>
      </c>
      <c r="V43" t="str">
        <f>""</f>
        <v/>
      </c>
      <c r="W43" t="str">
        <f>""</f>
        <v/>
      </c>
      <c r="X43">
        <v>1</v>
      </c>
      <c r="Y43">
        <v>2</v>
      </c>
      <c r="Z43">
        <v>3.64</v>
      </c>
      <c r="AA43">
        <v>1.28</v>
      </c>
      <c r="AB43">
        <v>3</v>
      </c>
      <c r="AC43">
        <v>1.28</v>
      </c>
      <c r="AD43">
        <v>1.28</v>
      </c>
      <c r="AE43">
        <v>1.1000000000000001</v>
      </c>
      <c r="AF43">
        <v>0.5</v>
      </c>
      <c r="AG43" t="str">
        <f t="shared" si="51"/>
        <v>010</v>
      </c>
      <c r="AH43" t="str">
        <f t="shared" si="52"/>
        <v>石黒ゴム工業（株）</v>
      </c>
      <c r="AI43" t="str">
        <f>"004"</f>
        <v>004</v>
      </c>
      <c r="AJ43" t="str">
        <f>"C1-5"</f>
        <v>C1-5</v>
      </c>
      <c r="AK43" t="str">
        <f>"30463"</f>
        <v>30463</v>
      </c>
      <c r="AL43" t="str">
        <f t="shared" si="54"/>
        <v>0383</v>
      </c>
      <c r="AM43" t="str">
        <f t="shared" si="55"/>
        <v>ｶﾊﾞ-ｺﾈｸﾀ-</v>
      </c>
      <c r="AN43" t="str">
        <f>"017"</f>
        <v>017</v>
      </c>
      <c r="AO43" t="str">
        <f>"TP-332 ｾﾝﾖｳ"</f>
        <v>TP-332 ｾﾝﾖｳ</v>
      </c>
      <c r="AP43">
        <v>400</v>
      </c>
      <c r="AQ43" t="str">
        <f>""</f>
        <v/>
      </c>
      <c r="AR43" t="str">
        <f>""</f>
        <v/>
      </c>
      <c r="AS43" t="str">
        <f>""</f>
        <v/>
      </c>
      <c r="AT43" t="str">
        <f t="shared" si="11"/>
        <v>00</v>
      </c>
      <c r="AU43">
        <v>0.5</v>
      </c>
      <c r="AV43" t="str">
        <f>""</f>
        <v/>
      </c>
      <c r="AW43" t="str">
        <f t="shared" si="44"/>
        <v>08</v>
      </c>
      <c r="AX43" t="str">
        <f t="shared" si="45"/>
        <v>専用</v>
      </c>
      <c r="AY43" t="str">
        <f t="shared" si="46"/>
        <v>01</v>
      </c>
      <c r="AZ43" t="str">
        <f t="shared" si="47"/>
        <v>後補充</v>
      </c>
      <c r="BA43" t="str">
        <f>""</f>
        <v/>
      </c>
      <c r="BB43" t="str">
        <f>"ＴＰ３３２フタナシ"</f>
        <v>ＴＰ３３２フタナシ</v>
      </c>
      <c r="BC43" t="str">
        <f>" 335.000"</f>
        <v xml:space="preserve"> 335.000</v>
      </c>
      <c r="BD43" t="str">
        <f>" 335.000"</f>
        <v xml:space="preserve"> 335.000</v>
      </c>
      <c r="BE43" t="str">
        <f>" 195.000"</f>
        <v xml:space="preserve"> 195.000</v>
      </c>
      <c r="BF43" t="str">
        <f>"   0.022"</f>
        <v xml:space="preserve">   0.022</v>
      </c>
      <c r="BG43" t="str">
        <f>"   3.010"</f>
        <v xml:space="preserve">   3.010</v>
      </c>
      <c r="BH43" t="str">
        <f t="shared" si="12"/>
        <v>しない</v>
      </c>
      <c r="BI43" t="str">
        <f>""</f>
        <v/>
      </c>
      <c r="BJ43" t="str">
        <f t="shared" si="13"/>
        <v>MASTER01</v>
      </c>
      <c r="BK43" t="str">
        <f t="shared" si="48"/>
        <v>2022/04/19</v>
      </c>
      <c r="BL43" t="str">
        <f t="shared" si="14"/>
        <v>NE00</v>
      </c>
      <c r="BM43" t="str">
        <f t="shared" si="15"/>
        <v>１工工務Ｇ</v>
      </c>
      <c r="BN43" t="str">
        <f t="shared" si="28"/>
        <v>46548</v>
      </c>
      <c r="BO43" t="str">
        <f t="shared" si="29"/>
        <v>長畑　玲奈</v>
      </c>
    </row>
    <row r="44" spans="1:67">
      <c r="A44" t="s">
        <v>146</v>
      </c>
      <c r="B44" t="str">
        <f>""</f>
        <v/>
      </c>
      <c r="C44" t="str">
        <f>""</f>
        <v/>
      </c>
      <c r="D44" t="s">
        <v>24</v>
      </c>
      <c r="E44" t="str">
        <f t="shared" si="0"/>
        <v>1Y</v>
      </c>
      <c r="F44" t="str">
        <f t="shared" si="1"/>
        <v>第１工場</v>
      </c>
      <c r="G44" t="str">
        <f t="shared" si="2"/>
        <v>手配</v>
      </c>
      <c r="H44" t="str">
        <f t="shared" si="3"/>
        <v>Ｐ</v>
      </c>
      <c r="I44" t="str">
        <f t="shared" si="49"/>
        <v>0208</v>
      </c>
      <c r="J44" t="str">
        <f t="shared" si="50"/>
        <v>石黒ゴム工業（株）</v>
      </c>
      <c r="K44" t="str">
        <f t="shared" si="22"/>
        <v>01</v>
      </c>
      <c r="L44" t="str">
        <f>""</f>
        <v/>
      </c>
      <c r="M44" t="str">
        <f t="shared" si="53"/>
        <v>――</v>
      </c>
      <c r="N44" t="str">
        <f t="shared" si="53"/>
        <v>――</v>
      </c>
      <c r="O44" t="str">
        <f t="shared" si="5"/>
        <v>Ｍ</v>
      </c>
      <c r="P44" t="str">
        <f t="shared" si="6"/>
        <v>01</v>
      </c>
      <c r="Q44" t="str">
        <f t="shared" si="7"/>
        <v>第１</v>
      </c>
      <c r="R44" t="str">
        <f t="shared" si="8"/>
        <v>1Y</v>
      </c>
      <c r="S44" t="str">
        <f t="shared" si="9"/>
        <v>安城第１工場</v>
      </c>
      <c r="T44" t="str">
        <f t="shared" si="10"/>
        <v>直接</v>
      </c>
      <c r="U44" t="str">
        <f>""</f>
        <v/>
      </c>
      <c r="V44" t="str">
        <f>""</f>
        <v/>
      </c>
      <c r="W44" t="str">
        <f>""</f>
        <v/>
      </c>
      <c r="X44">
        <v>1</v>
      </c>
      <c r="Y44">
        <v>2</v>
      </c>
      <c r="Z44">
        <v>3.64</v>
      </c>
      <c r="AA44">
        <v>1.28</v>
      </c>
      <c r="AB44">
        <v>3</v>
      </c>
      <c r="AC44">
        <v>1.28</v>
      </c>
      <c r="AD44">
        <v>1.28</v>
      </c>
      <c r="AE44">
        <v>1.1000000000000001</v>
      </c>
      <c r="AF44">
        <v>0.5</v>
      </c>
      <c r="AG44" t="str">
        <f t="shared" si="51"/>
        <v>010</v>
      </c>
      <c r="AH44" t="str">
        <f t="shared" si="52"/>
        <v>石黒ゴム工業（株）</v>
      </c>
      <c r="AI44" t="str">
        <f>"005"</f>
        <v>005</v>
      </c>
      <c r="AJ44" t="str">
        <f>"C1-6"</f>
        <v>C1-6</v>
      </c>
      <c r="AK44" t="str">
        <f>"10458"</f>
        <v>10458</v>
      </c>
      <c r="AL44" t="str">
        <f t="shared" si="54"/>
        <v>0383</v>
      </c>
      <c r="AM44" t="str">
        <f t="shared" si="55"/>
        <v>ｶﾊﾞ-ｺﾈｸﾀ-</v>
      </c>
      <c r="AN44" t="str">
        <f>"012"</f>
        <v>012</v>
      </c>
      <c r="AO44" t="str">
        <f>"TP-131 ﾊﾝﾖｳ"</f>
        <v>TP-131 ﾊﾝﾖｳ</v>
      </c>
      <c r="AP44">
        <v>200</v>
      </c>
      <c r="AQ44" t="str">
        <f>""</f>
        <v/>
      </c>
      <c r="AR44" t="str">
        <f>""</f>
        <v/>
      </c>
      <c r="AS44" t="str">
        <f>""</f>
        <v/>
      </c>
      <c r="AT44" t="str">
        <f t="shared" si="11"/>
        <v>00</v>
      </c>
      <c r="AU44">
        <v>0.5</v>
      </c>
      <c r="AV44" t="str">
        <f>""</f>
        <v/>
      </c>
      <c r="AW44" t="str">
        <f t="shared" si="44"/>
        <v>08</v>
      </c>
      <c r="AX44" t="str">
        <f t="shared" si="45"/>
        <v>専用</v>
      </c>
      <c r="AY44" t="str">
        <f t="shared" si="46"/>
        <v>01</v>
      </c>
      <c r="AZ44" t="str">
        <f t="shared" si="47"/>
        <v>後補充</v>
      </c>
      <c r="BA44" t="str">
        <f>""</f>
        <v/>
      </c>
      <c r="BB44" t="str">
        <f>"ＴＰ１３１フタナシ"</f>
        <v>ＴＰ１３１フタナシ</v>
      </c>
      <c r="BC44" t="str">
        <f>" 335.000"</f>
        <v xml:space="preserve"> 335.000</v>
      </c>
      <c r="BD44" t="str">
        <f>" 168.000"</f>
        <v xml:space="preserve"> 168.000</v>
      </c>
      <c r="BE44" t="str">
        <f>" 103.000"</f>
        <v xml:space="preserve"> 103.000</v>
      </c>
      <c r="BF44" t="str">
        <f>"   0.006"</f>
        <v xml:space="preserve">   0.006</v>
      </c>
      <c r="BG44" t="str">
        <f>"   3.010"</f>
        <v xml:space="preserve">   3.010</v>
      </c>
      <c r="BH44" t="str">
        <f t="shared" si="12"/>
        <v>しない</v>
      </c>
      <c r="BI44" t="str">
        <f>""</f>
        <v/>
      </c>
      <c r="BJ44" t="str">
        <f t="shared" si="13"/>
        <v>MASTER01</v>
      </c>
      <c r="BK44" t="str">
        <f t="shared" si="48"/>
        <v>2022/04/19</v>
      </c>
      <c r="BL44" t="str">
        <f t="shared" si="14"/>
        <v>NE00</v>
      </c>
      <c r="BM44" t="str">
        <f t="shared" si="15"/>
        <v>１工工務Ｇ</v>
      </c>
      <c r="BN44" t="str">
        <f t="shared" si="28"/>
        <v>46548</v>
      </c>
      <c r="BO44" t="str">
        <f t="shared" si="29"/>
        <v>長畑　玲奈</v>
      </c>
    </row>
    <row r="45" spans="1:67">
      <c r="A45" t="s">
        <v>147</v>
      </c>
      <c r="B45" t="str">
        <f>""</f>
        <v/>
      </c>
      <c r="C45" t="str">
        <f>""</f>
        <v/>
      </c>
      <c r="D45" t="s">
        <v>24</v>
      </c>
      <c r="E45" t="str">
        <f t="shared" si="0"/>
        <v>1Y</v>
      </c>
      <c r="F45" t="str">
        <f t="shared" si="1"/>
        <v>第１工場</v>
      </c>
      <c r="G45" t="str">
        <f t="shared" si="2"/>
        <v>手配</v>
      </c>
      <c r="H45" t="str">
        <f t="shared" si="3"/>
        <v>Ｐ</v>
      </c>
      <c r="I45" t="str">
        <f t="shared" si="49"/>
        <v>0208</v>
      </c>
      <c r="J45" t="str">
        <f t="shared" si="50"/>
        <v>石黒ゴム工業（株）</v>
      </c>
      <c r="K45" t="str">
        <f t="shared" si="22"/>
        <v>01</v>
      </c>
      <c r="L45" t="str">
        <f>""</f>
        <v/>
      </c>
      <c r="M45" t="str">
        <f t="shared" si="53"/>
        <v>――</v>
      </c>
      <c r="N45" t="str">
        <f t="shared" si="53"/>
        <v>――</v>
      </c>
      <c r="O45" t="str">
        <f t="shared" si="5"/>
        <v>Ｍ</v>
      </c>
      <c r="P45" t="str">
        <f t="shared" si="6"/>
        <v>01</v>
      </c>
      <c r="Q45" t="str">
        <f t="shared" si="7"/>
        <v>第１</v>
      </c>
      <c r="R45" t="str">
        <f t="shared" si="8"/>
        <v>1Y</v>
      </c>
      <c r="S45" t="str">
        <f t="shared" si="9"/>
        <v>安城第１工場</v>
      </c>
      <c r="T45" t="str">
        <f t="shared" si="10"/>
        <v>直接</v>
      </c>
      <c r="U45" t="str">
        <f>""</f>
        <v/>
      </c>
      <c r="V45" t="str">
        <f>""</f>
        <v/>
      </c>
      <c r="W45" t="str">
        <f>""</f>
        <v/>
      </c>
      <c r="X45">
        <v>1</v>
      </c>
      <c r="Y45">
        <v>2</v>
      </c>
      <c r="Z45">
        <v>3.64</v>
      </c>
      <c r="AA45">
        <v>1.28</v>
      </c>
      <c r="AB45">
        <v>3</v>
      </c>
      <c r="AC45">
        <v>1.28</v>
      </c>
      <c r="AD45">
        <v>1.28</v>
      </c>
      <c r="AE45">
        <v>1.1000000000000001</v>
      </c>
      <c r="AF45">
        <v>0.5</v>
      </c>
      <c r="AG45" t="str">
        <f t="shared" si="51"/>
        <v>010</v>
      </c>
      <c r="AH45" t="str">
        <f t="shared" si="52"/>
        <v>石黒ゴム工業（株）</v>
      </c>
      <c r="AI45" t="str">
        <f>"006"</f>
        <v>006</v>
      </c>
      <c r="AJ45" t="str">
        <f>"C1-8"</f>
        <v>C1-8</v>
      </c>
      <c r="AK45" t="str">
        <f>"50465"</f>
        <v>50465</v>
      </c>
      <c r="AL45" t="str">
        <f t="shared" si="54"/>
        <v>0383</v>
      </c>
      <c r="AM45" t="str">
        <f t="shared" si="55"/>
        <v>ｶﾊﾞ-ｺﾈｸﾀ-</v>
      </c>
      <c r="AN45" t="str">
        <f>"019"</f>
        <v>019</v>
      </c>
      <c r="AO45" t="str">
        <f>"TP-342 ｾﾝﾖｳ"</f>
        <v>TP-342 ｾﾝﾖｳ</v>
      </c>
      <c r="AP45">
        <v>100</v>
      </c>
      <c r="AQ45" t="str">
        <f>""</f>
        <v/>
      </c>
      <c r="AR45" t="str">
        <f>""</f>
        <v/>
      </c>
      <c r="AS45" t="str">
        <f>""</f>
        <v/>
      </c>
      <c r="AT45" t="str">
        <f t="shared" si="11"/>
        <v>00</v>
      </c>
      <c r="AU45">
        <v>0.5</v>
      </c>
      <c r="AV45" t="str">
        <f>""</f>
        <v/>
      </c>
      <c r="AW45" t="str">
        <f t="shared" si="44"/>
        <v>08</v>
      </c>
      <c r="AX45" t="str">
        <f t="shared" si="45"/>
        <v>専用</v>
      </c>
      <c r="AY45" t="str">
        <f t="shared" si="46"/>
        <v>01</v>
      </c>
      <c r="AZ45" t="str">
        <f t="shared" si="47"/>
        <v>後補充</v>
      </c>
      <c r="BA45" t="str">
        <f>""</f>
        <v/>
      </c>
      <c r="BB45" t="str">
        <f>"ＴＰ３４２フタナシ"</f>
        <v>ＴＰ３４２フタナシ</v>
      </c>
      <c r="BC45" t="str">
        <f>" 503.000"</f>
        <v xml:space="preserve"> 503.000</v>
      </c>
      <c r="BD45" t="str">
        <f>" 335.000"</f>
        <v xml:space="preserve"> 335.000</v>
      </c>
      <c r="BE45" t="str">
        <f>" 195.000"</f>
        <v xml:space="preserve"> 195.000</v>
      </c>
      <c r="BF45" t="str">
        <f>"   0.033"</f>
        <v xml:space="preserve">   0.033</v>
      </c>
      <c r="BG45" t="str">
        <f>"   3.300"</f>
        <v xml:space="preserve">   3.300</v>
      </c>
      <c r="BH45" t="str">
        <f t="shared" si="12"/>
        <v>しない</v>
      </c>
      <c r="BI45" t="str">
        <f>""</f>
        <v/>
      </c>
      <c r="BJ45" t="str">
        <f t="shared" si="13"/>
        <v>MASTER01</v>
      </c>
      <c r="BK45" t="str">
        <f t="shared" si="48"/>
        <v>2022/04/19</v>
      </c>
      <c r="BL45" t="str">
        <f t="shared" si="14"/>
        <v>NE00</v>
      </c>
      <c r="BM45" t="str">
        <f t="shared" si="15"/>
        <v>１工工務Ｇ</v>
      </c>
      <c r="BN45" t="str">
        <f t="shared" si="28"/>
        <v>46548</v>
      </c>
      <c r="BO45" t="str">
        <f t="shared" si="29"/>
        <v>長畑　玲奈</v>
      </c>
    </row>
    <row r="46" spans="1:67">
      <c r="A46" t="s">
        <v>148</v>
      </c>
      <c r="B46" t="str">
        <f>""</f>
        <v/>
      </c>
      <c r="C46" t="str">
        <f>""</f>
        <v/>
      </c>
      <c r="D46" t="s">
        <v>24</v>
      </c>
      <c r="E46" t="str">
        <f t="shared" si="0"/>
        <v>1Y</v>
      </c>
      <c r="F46" t="str">
        <f t="shared" si="1"/>
        <v>第１工場</v>
      </c>
      <c r="G46" t="str">
        <f t="shared" si="2"/>
        <v>手配</v>
      </c>
      <c r="H46" t="str">
        <f t="shared" si="3"/>
        <v>Ｐ</v>
      </c>
      <c r="I46" t="str">
        <f t="shared" si="49"/>
        <v>0208</v>
      </c>
      <c r="J46" t="str">
        <f t="shared" si="50"/>
        <v>石黒ゴム工業（株）</v>
      </c>
      <c r="K46" t="str">
        <f t="shared" si="22"/>
        <v>01</v>
      </c>
      <c r="L46" t="str">
        <f>""</f>
        <v/>
      </c>
      <c r="M46" t="str">
        <f t="shared" si="53"/>
        <v>――</v>
      </c>
      <c r="N46" t="str">
        <f t="shared" si="53"/>
        <v>――</v>
      </c>
      <c r="O46" t="str">
        <f t="shared" si="5"/>
        <v>Ｍ</v>
      </c>
      <c r="P46" t="str">
        <f t="shared" si="6"/>
        <v>01</v>
      </c>
      <c r="Q46" t="str">
        <f t="shared" si="7"/>
        <v>第１</v>
      </c>
      <c r="R46" t="str">
        <f t="shared" si="8"/>
        <v>1Y</v>
      </c>
      <c r="S46" t="str">
        <f t="shared" si="9"/>
        <v>安城第１工場</v>
      </c>
      <c r="T46" t="str">
        <f t="shared" si="10"/>
        <v>直接</v>
      </c>
      <c r="U46" t="str">
        <f>""</f>
        <v/>
      </c>
      <c r="V46" t="str">
        <f>""</f>
        <v/>
      </c>
      <c r="W46" t="str">
        <f>""</f>
        <v/>
      </c>
      <c r="X46">
        <v>1</v>
      </c>
      <c r="Y46">
        <v>2</v>
      </c>
      <c r="Z46">
        <v>3.64</v>
      </c>
      <c r="AA46">
        <v>1.28</v>
      </c>
      <c r="AB46">
        <v>3</v>
      </c>
      <c r="AC46">
        <v>1.28</v>
      </c>
      <c r="AD46">
        <v>1.28</v>
      </c>
      <c r="AE46">
        <v>1.1000000000000001</v>
      </c>
      <c r="AF46">
        <v>0.5</v>
      </c>
      <c r="AG46" t="str">
        <f t="shared" si="51"/>
        <v>010</v>
      </c>
      <c r="AH46" t="str">
        <f t="shared" si="52"/>
        <v>石黒ゴム工業（株）</v>
      </c>
      <c r="AI46" t="str">
        <f>"007"</f>
        <v>007</v>
      </c>
      <c r="AJ46" t="str">
        <f>"C1-11"</f>
        <v>C1-11</v>
      </c>
      <c r="AK46" t="str">
        <f>"30466"</f>
        <v>30466</v>
      </c>
      <c r="AL46" t="str">
        <f t="shared" si="54"/>
        <v>0383</v>
      </c>
      <c r="AM46" t="str">
        <f t="shared" si="55"/>
        <v>ｶﾊﾞ-ｺﾈｸﾀ-</v>
      </c>
      <c r="AN46" t="str">
        <f>"016"</f>
        <v>016</v>
      </c>
      <c r="AO46" t="str">
        <f>"TP-332 ﾊﾝﾖｳ"</f>
        <v>TP-332 ﾊﾝﾖｳ</v>
      </c>
      <c r="AP46">
        <v>100</v>
      </c>
      <c r="AQ46" t="str">
        <f>""</f>
        <v/>
      </c>
      <c r="AR46" t="str">
        <f>""</f>
        <v/>
      </c>
      <c r="AS46" t="str">
        <f>""</f>
        <v/>
      </c>
      <c r="AT46" t="str">
        <f t="shared" si="11"/>
        <v>00</v>
      </c>
      <c r="AU46">
        <v>0.5</v>
      </c>
      <c r="AV46" t="str">
        <f>""</f>
        <v/>
      </c>
      <c r="AW46" t="str">
        <f t="shared" si="44"/>
        <v>08</v>
      </c>
      <c r="AX46" t="str">
        <f t="shared" si="45"/>
        <v>専用</v>
      </c>
      <c r="AY46" t="str">
        <f t="shared" si="46"/>
        <v>01</v>
      </c>
      <c r="AZ46" t="str">
        <f t="shared" si="47"/>
        <v>後補充</v>
      </c>
      <c r="BA46" t="str">
        <f>""</f>
        <v/>
      </c>
      <c r="BB46" t="str">
        <f>"ＴＰ３３２フタナシ"</f>
        <v>ＴＰ３３２フタナシ</v>
      </c>
      <c r="BC46" t="str">
        <f t="shared" ref="BC46:BD54" si="56">" 335.000"</f>
        <v xml:space="preserve"> 335.000</v>
      </c>
      <c r="BD46" t="str">
        <f>" 335.000"</f>
        <v xml:space="preserve"> 335.000</v>
      </c>
      <c r="BE46" t="str">
        <f>" 195.000"</f>
        <v xml:space="preserve"> 195.000</v>
      </c>
      <c r="BF46" t="str">
        <f>"   0.022"</f>
        <v xml:space="preserve">   0.022</v>
      </c>
      <c r="BG46" t="str">
        <f>"   3.100"</f>
        <v xml:space="preserve">   3.100</v>
      </c>
      <c r="BH46" t="str">
        <f t="shared" si="12"/>
        <v>しない</v>
      </c>
      <c r="BI46" t="str">
        <f>""</f>
        <v/>
      </c>
      <c r="BJ46" t="str">
        <f t="shared" si="13"/>
        <v>MASTER01</v>
      </c>
      <c r="BK46" t="str">
        <f t="shared" si="48"/>
        <v>2022/04/19</v>
      </c>
      <c r="BL46" t="str">
        <f t="shared" si="14"/>
        <v>NE00</v>
      </c>
      <c r="BM46" t="str">
        <f t="shared" si="15"/>
        <v>１工工務Ｇ</v>
      </c>
      <c r="BN46" t="str">
        <f t="shared" si="28"/>
        <v>46548</v>
      </c>
      <c r="BO46" t="str">
        <f t="shared" si="29"/>
        <v>長畑　玲奈</v>
      </c>
    </row>
    <row r="47" spans="1:67">
      <c r="A47" t="s">
        <v>149</v>
      </c>
      <c r="B47" t="str">
        <f>""</f>
        <v/>
      </c>
      <c r="C47" t="str">
        <f>""</f>
        <v/>
      </c>
      <c r="D47" t="s">
        <v>24</v>
      </c>
      <c r="E47" t="str">
        <f t="shared" si="0"/>
        <v>1Y</v>
      </c>
      <c r="F47" t="str">
        <f t="shared" si="1"/>
        <v>第１工場</v>
      </c>
      <c r="G47" t="str">
        <f t="shared" si="2"/>
        <v>手配</v>
      </c>
      <c r="H47" t="str">
        <f t="shared" si="3"/>
        <v>Ｐ</v>
      </c>
      <c r="I47" t="str">
        <f t="shared" si="49"/>
        <v>0208</v>
      </c>
      <c r="J47" t="str">
        <f t="shared" si="50"/>
        <v>石黒ゴム工業（株）</v>
      </c>
      <c r="K47" t="str">
        <f t="shared" si="22"/>
        <v>01</v>
      </c>
      <c r="L47" t="str">
        <f>""</f>
        <v/>
      </c>
      <c r="M47" t="str">
        <f t="shared" si="53"/>
        <v>――</v>
      </c>
      <c r="N47" t="str">
        <f t="shared" si="53"/>
        <v>――</v>
      </c>
      <c r="O47" t="str">
        <f t="shared" si="5"/>
        <v>Ｍ</v>
      </c>
      <c r="P47" t="str">
        <f t="shared" si="6"/>
        <v>01</v>
      </c>
      <c r="Q47" t="str">
        <f t="shared" si="7"/>
        <v>第１</v>
      </c>
      <c r="R47" t="str">
        <f t="shared" si="8"/>
        <v>1Y</v>
      </c>
      <c r="S47" t="str">
        <f t="shared" si="9"/>
        <v>安城第１工場</v>
      </c>
      <c r="T47" t="str">
        <f t="shared" si="10"/>
        <v>直接</v>
      </c>
      <c r="U47" t="str">
        <f>""</f>
        <v/>
      </c>
      <c r="V47" t="str">
        <f>""</f>
        <v/>
      </c>
      <c r="W47" t="str">
        <f>""</f>
        <v/>
      </c>
      <c r="X47">
        <v>1</v>
      </c>
      <c r="Y47">
        <v>2</v>
      </c>
      <c r="Z47">
        <v>3.64</v>
      </c>
      <c r="AA47">
        <v>1.28</v>
      </c>
      <c r="AB47">
        <v>3</v>
      </c>
      <c r="AC47">
        <v>1.28</v>
      </c>
      <c r="AD47">
        <v>1.28</v>
      </c>
      <c r="AE47">
        <v>1.1000000000000001</v>
      </c>
      <c r="AF47">
        <v>0.5</v>
      </c>
      <c r="AG47" t="str">
        <f t="shared" si="51"/>
        <v>010</v>
      </c>
      <c r="AH47" t="str">
        <f t="shared" si="52"/>
        <v>石黒ゴム工業（株）</v>
      </c>
      <c r="AI47" t="str">
        <f>"010"</f>
        <v>010</v>
      </c>
      <c r="AJ47" t="str">
        <f>"C1-9"</f>
        <v>C1-9</v>
      </c>
      <c r="AK47" t="str">
        <f>"30467"</f>
        <v>30467</v>
      </c>
      <c r="AL47" t="str">
        <f t="shared" si="54"/>
        <v>0383</v>
      </c>
      <c r="AM47" t="str">
        <f t="shared" si="55"/>
        <v>ｶﾊﾞ-ｺﾈｸﾀ-</v>
      </c>
      <c r="AN47" t="str">
        <f>"016"</f>
        <v>016</v>
      </c>
      <c r="AO47" t="str">
        <f>"TP-332 ﾊﾝﾖｳ"</f>
        <v>TP-332 ﾊﾝﾖｳ</v>
      </c>
      <c r="AP47">
        <v>50</v>
      </c>
      <c r="AQ47" t="str">
        <f>""</f>
        <v/>
      </c>
      <c r="AR47" t="str">
        <f>""</f>
        <v/>
      </c>
      <c r="AS47" t="str">
        <f>""</f>
        <v/>
      </c>
      <c r="AT47" t="str">
        <f t="shared" si="11"/>
        <v>00</v>
      </c>
      <c r="AU47">
        <v>0.5</v>
      </c>
      <c r="AV47" t="str">
        <f>""</f>
        <v/>
      </c>
      <c r="AW47" t="str">
        <f t="shared" si="44"/>
        <v>08</v>
      </c>
      <c r="AX47" t="str">
        <f t="shared" si="45"/>
        <v>専用</v>
      </c>
      <c r="AY47" t="str">
        <f t="shared" si="46"/>
        <v>01</v>
      </c>
      <c r="AZ47" t="str">
        <f t="shared" si="47"/>
        <v>後補充</v>
      </c>
      <c r="BA47" t="str">
        <f>""</f>
        <v/>
      </c>
      <c r="BB47" t="str">
        <f>"ＴＰ３３２フタナシ"</f>
        <v>ＴＰ３３２フタナシ</v>
      </c>
      <c r="BC47" t="str">
        <f t="shared" si="56"/>
        <v xml:space="preserve"> 335.000</v>
      </c>
      <c r="BD47" t="str">
        <f>" 335.000"</f>
        <v xml:space="preserve"> 335.000</v>
      </c>
      <c r="BE47" t="str">
        <f>" 195.000"</f>
        <v xml:space="preserve"> 195.000</v>
      </c>
      <c r="BF47" t="str">
        <f>"   0.022"</f>
        <v xml:space="preserve">   0.022</v>
      </c>
      <c r="BG47" t="str">
        <f>"   3.100"</f>
        <v xml:space="preserve">   3.100</v>
      </c>
      <c r="BH47" t="str">
        <f t="shared" si="12"/>
        <v>しない</v>
      </c>
      <c r="BI47" t="str">
        <f>""</f>
        <v/>
      </c>
      <c r="BJ47" t="str">
        <f t="shared" si="13"/>
        <v>MASTER01</v>
      </c>
      <c r="BK47" t="str">
        <f t="shared" si="48"/>
        <v>2022/04/19</v>
      </c>
      <c r="BL47" t="str">
        <f t="shared" si="14"/>
        <v>NE00</v>
      </c>
      <c r="BM47" t="str">
        <f t="shared" si="15"/>
        <v>１工工務Ｇ</v>
      </c>
      <c r="BN47" t="str">
        <f t="shared" si="28"/>
        <v>46548</v>
      </c>
      <c r="BO47" t="str">
        <f t="shared" si="29"/>
        <v>長畑　玲奈</v>
      </c>
    </row>
    <row r="48" spans="1:67">
      <c r="A48" t="s">
        <v>150</v>
      </c>
      <c r="B48" t="str">
        <f>""</f>
        <v/>
      </c>
      <c r="C48" t="str">
        <f>""</f>
        <v/>
      </c>
      <c r="D48" t="s">
        <v>24</v>
      </c>
      <c r="E48" t="str">
        <f t="shared" si="0"/>
        <v>1Y</v>
      </c>
      <c r="F48" t="str">
        <f t="shared" si="1"/>
        <v>第１工場</v>
      </c>
      <c r="G48" t="str">
        <f t="shared" si="2"/>
        <v>手配</v>
      </c>
      <c r="H48" t="str">
        <f t="shared" si="3"/>
        <v>Ｐ</v>
      </c>
      <c r="I48" t="str">
        <f t="shared" si="49"/>
        <v>0208</v>
      </c>
      <c r="J48" t="str">
        <f t="shared" si="50"/>
        <v>石黒ゴム工業（株）</v>
      </c>
      <c r="K48" t="str">
        <f t="shared" si="22"/>
        <v>01</v>
      </c>
      <c r="L48" t="str">
        <f>""</f>
        <v/>
      </c>
      <c r="M48" t="str">
        <f t="shared" si="53"/>
        <v>――</v>
      </c>
      <c r="N48" t="str">
        <f t="shared" si="53"/>
        <v>――</v>
      </c>
      <c r="O48" t="str">
        <f t="shared" si="5"/>
        <v>Ｍ</v>
      </c>
      <c r="P48" t="str">
        <f t="shared" si="6"/>
        <v>01</v>
      </c>
      <c r="Q48" t="str">
        <f t="shared" si="7"/>
        <v>第１</v>
      </c>
      <c r="R48" t="str">
        <f t="shared" si="8"/>
        <v>1Y</v>
      </c>
      <c r="S48" t="str">
        <f t="shared" si="9"/>
        <v>安城第１工場</v>
      </c>
      <c r="T48" t="str">
        <f t="shared" si="10"/>
        <v>直接</v>
      </c>
      <c r="U48" t="str">
        <f>""</f>
        <v/>
      </c>
      <c r="V48" t="str">
        <f>""</f>
        <v/>
      </c>
      <c r="W48" t="str">
        <f>""</f>
        <v/>
      </c>
      <c r="X48">
        <v>1</v>
      </c>
      <c r="Y48">
        <v>2</v>
      </c>
      <c r="Z48">
        <v>3.64</v>
      </c>
      <c r="AA48">
        <v>1.28</v>
      </c>
      <c r="AB48">
        <v>3</v>
      </c>
      <c r="AC48">
        <v>1.28</v>
      </c>
      <c r="AD48">
        <v>1.28</v>
      </c>
      <c r="AE48">
        <v>1.1000000000000001</v>
      </c>
      <c r="AF48">
        <v>0.5</v>
      </c>
      <c r="AG48" t="str">
        <f t="shared" si="51"/>
        <v>010</v>
      </c>
      <c r="AH48" t="str">
        <f t="shared" si="52"/>
        <v>石黒ゴム工業（株）</v>
      </c>
      <c r="AI48" t="str">
        <f>"008"</f>
        <v>008</v>
      </c>
      <c r="AJ48" t="str">
        <f>"C1-12"</f>
        <v>C1-12</v>
      </c>
      <c r="AK48" t="str">
        <f>"10461"</f>
        <v>10461</v>
      </c>
      <c r="AL48" t="str">
        <f t="shared" si="54"/>
        <v>0383</v>
      </c>
      <c r="AM48" t="str">
        <f t="shared" si="55"/>
        <v>ｶﾊﾞ-ｺﾈｸﾀ-</v>
      </c>
      <c r="AN48" t="str">
        <f>"012"</f>
        <v>012</v>
      </c>
      <c r="AO48" t="str">
        <f>"TP-131 ﾊﾝﾖｳ"</f>
        <v>TP-131 ﾊﾝﾖｳ</v>
      </c>
      <c r="AP48">
        <v>100</v>
      </c>
      <c r="AQ48" t="str">
        <f>""</f>
        <v/>
      </c>
      <c r="AR48" t="str">
        <f>""</f>
        <v/>
      </c>
      <c r="AS48" t="str">
        <f>""</f>
        <v/>
      </c>
      <c r="AT48" t="str">
        <f t="shared" si="11"/>
        <v>00</v>
      </c>
      <c r="AU48">
        <v>0.5</v>
      </c>
      <c r="AV48" t="str">
        <f>""</f>
        <v/>
      </c>
      <c r="AW48" t="str">
        <f t="shared" si="44"/>
        <v>08</v>
      </c>
      <c r="AX48" t="str">
        <f t="shared" si="45"/>
        <v>専用</v>
      </c>
      <c r="AY48" t="str">
        <f t="shared" si="46"/>
        <v>01</v>
      </c>
      <c r="AZ48" t="str">
        <f t="shared" si="47"/>
        <v>後補充</v>
      </c>
      <c r="BA48" t="str">
        <f>""</f>
        <v/>
      </c>
      <c r="BB48" t="str">
        <f>"ＴＰ１３１フタナシ"</f>
        <v>ＴＰ１３１フタナシ</v>
      </c>
      <c r="BC48" t="str">
        <f t="shared" si="56"/>
        <v xml:space="preserve"> 335.000</v>
      </c>
      <c r="BD48" t="str">
        <f>" 168.000"</f>
        <v xml:space="preserve"> 168.000</v>
      </c>
      <c r="BE48" t="str">
        <f>" 103.000"</f>
        <v xml:space="preserve"> 103.000</v>
      </c>
      <c r="BF48" t="str">
        <f>"   0.006"</f>
        <v xml:space="preserve">   0.006</v>
      </c>
      <c r="BG48" t="str">
        <f>"   0.370"</f>
        <v xml:space="preserve">   0.370</v>
      </c>
      <c r="BH48" t="str">
        <f t="shared" si="12"/>
        <v>しない</v>
      </c>
      <c r="BI48" t="str">
        <f>""</f>
        <v/>
      </c>
      <c r="BJ48" t="str">
        <f t="shared" si="13"/>
        <v>MASTER01</v>
      </c>
      <c r="BK48" t="str">
        <f t="shared" si="48"/>
        <v>2022/04/19</v>
      </c>
      <c r="BL48" t="str">
        <f t="shared" si="14"/>
        <v>NE00</v>
      </c>
      <c r="BM48" t="str">
        <f t="shared" si="15"/>
        <v>１工工務Ｇ</v>
      </c>
      <c r="BN48" t="str">
        <f t="shared" si="28"/>
        <v>46548</v>
      </c>
      <c r="BO48" t="str">
        <f t="shared" si="29"/>
        <v>長畑　玲奈</v>
      </c>
    </row>
    <row r="49" spans="1:67">
      <c r="A49" t="s">
        <v>151</v>
      </c>
      <c r="B49" t="str">
        <f>""</f>
        <v/>
      </c>
      <c r="C49" t="str">
        <f>""</f>
        <v/>
      </c>
      <c r="D49" t="s">
        <v>24</v>
      </c>
      <c r="E49" t="str">
        <f t="shared" si="0"/>
        <v>1Y</v>
      </c>
      <c r="F49" t="str">
        <f t="shared" si="1"/>
        <v>第１工場</v>
      </c>
      <c r="G49" t="str">
        <f t="shared" si="2"/>
        <v>手配</v>
      </c>
      <c r="H49" t="str">
        <f t="shared" si="3"/>
        <v>Ｐ</v>
      </c>
      <c r="I49" t="str">
        <f t="shared" si="49"/>
        <v>0208</v>
      </c>
      <c r="J49" t="str">
        <f t="shared" si="50"/>
        <v>石黒ゴム工業（株）</v>
      </c>
      <c r="K49" t="str">
        <f t="shared" si="22"/>
        <v>01</v>
      </c>
      <c r="L49" t="str">
        <f>""</f>
        <v/>
      </c>
      <c r="M49" t="str">
        <f t="shared" si="53"/>
        <v>――</v>
      </c>
      <c r="N49" t="str">
        <f t="shared" si="53"/>
        <v>――</v>
      </c>
      <c r="O49" t="str">
        <f t="shared" si="5"/>
        <v>Ｍ</v>
      </c>
      <c r="P49" t="str">
        <f t="shared" si="6"/>
        <v>01</v>
      </c>
      <c r="Q49" t="str">
        <f t="shared" si="7"/>
        <v>第１</v>
      </c>
      <c r="R49" t="str">
        <f t="shared" si="8"/>
        <v>1Y</v>
      </c>
      <c r="S49" t="str">
        <f t="shared" si="9"/>
        <v>安城第１工場</v>
      </c>
      <c r="T49" t="str">
        <f t="shared" si="10"/>
        <v>直接</v>
      </c>
      <c r="U49" t="str">
        <f>""</f>
        <v/>
      </c>
      <c r="V49" t="str">
        <f>""</f>
        <v/>
      </c>
      <c r="W49" t="str">
        <f>""</f>
        <v/>
      </c>
      <c r="X49">
        <v>1</v>
      </c>
      <c r="Y49">
        <v>2</v>
      </c>
      <c r="Z49">
        <v>3.64</v>
      </c>
      <c r="AA49">
        <v>1.28</v>
      </c>
      <c r="AB49">
        <v>3</v>
      </c>
      <c r="AC49">
        <v>1.28</v>
      </c>
      <c r="AD49">
        <v>1.28</v>
      </c>
      <c r="AE49">
        <v>1.1000000000000001</v>
      </c>
      <c r="AF49">
        <v>0.5</v>
      </c>
      <c r="AG49" t="str">
        <f t="shared" si="51"/>
        <v>010</v>
      </c>
      <c r="AH49" t="str">
        <f t="shared" si="52"/>
        <v>石黒ゴム工業（株）</v>
      </c>
      <c r="AI49" t="str">
        <f>"009"</f>
        <v>009</v>
      </c>
      <c r="AJ49" t="str">
        <f>"C1-8"</f>
        <v>C1-8</v>
      </c>
      <c r="AK49" t="str">
        <f>"30457"</f>
        <v>30457</v>
      </c>
      <c r="AL49" t="str">
        <f t="shared" si="54"/>
        <v>0383</v>
      </c>
      <c r="AM49" t="str">
        <f t="shared" si="55"/>
        <v>ｶﾊﾞ-ｺﾈｸﾀ-</v>
      </c>
      <c r="AN49" t="str">
        <f>"016"</f>
        <v>016</v>
      </c>
      <c r="AO49" t="str">
        <f>"TP-332 ﾊﾝﾖｳ"</f>
        <v>TP-332 ﾊﾝﾖｳ</v>
      </c>
      <c r="AP49">
        <v>400</v>
      </c>
      <c r="AQ49" t="str">
        <f>""</f>
        <v/>
      </c>
      <c r="AR49" t="str">
        <f>""</f>
        <v/>
      </c>
      <c r="AS49" t="str">
        <f>""</f>
        <v/>
      </c>
      <c r="AT49" t="str">
        <f t="shared" si="11"/>
        <v>00</v>
      </c>
      <c r="AU49">
        <v>0.5</v>
      </c>
      <c r="AV49" t="str">
        <f>""</f>
        <v/>
      </c>
      <c r="AW49" t="str">
        <f t="shared" si="44"/>
        <v>08</v>
      </c>
      <c r="AX49" t="str">
        <f t="shared" si="45"/>
        <v>専用</v>
      </c>
      <c r="AY49" t="str">
        <f t="shared" si="46"/>
        <v>01</v>
      </c>
      <c r="AZ49" t="str">
        <f t="shared" si="47"/>
        <v>後補充</v>
      </c>
      <c r="BA49" t="str">
        <f>""</f>
        <v/>
      </c>
      <c r="BB49" t="str">
        <f>"ＴＰ３３２フタナシ"</f>
        <v>ＴＰ３３２フタナシ</v>
      </c>
      <c r="BC49" t="str">
        <f t="shared" si="56"/>
        <v xml:space="preserve"> 335.000</v>
      </c>
      <c r="BD49" t="str">
        <f t="shared" si="56"/>
        <v xml:space="preserve"> 335.000</v>
      </c>
      <c r="BE49" t="str">
        <f>" 195.000"</f>
        <v xml:space="preserve"> 195.000</v>
      </c>
      <c r="BF49" t="str">
        <f>"   0.022"</f>
        <v xml:space="preserve">   0.022</v>
      </c>
      <c r="BG49" t="str">
        <f>"   1.420"</f>
        <v xml:space="preserve">   1.420</v>
      </c>
      <c r="BH49" t="str">
        <f t="shared" si="12"/>
        <v>しない</v>
      </c>
      <c r="BI49" t="str">
        <f>""</f>
        <v/>
      </c>
      <c r="BJ49" t="str">
        <f t="shared" si="13"/>
        <v>MASTER01</v>
      </c>
      <c r="BK49" t="str">
        <f t="shared" si="48"/>
        <v>2022/04/19</v>
      </c>
      <c r="BL49" t="str">
        <f t="shared" si="14"/>
        <v>NE00</v>
      </c>
      <c r="BM49" t="str">
        <f t="shared" si="15"/>
        <v>１工工務Ｇ</v>
      </c>
      <c r="BN49" t="str">
        <f t="shared" si="28"/>
        <v>46548</v>
      </c>
      <c r="BO49" t="str">
        <f t="shared" si="29"/>
        <v>長畑　玲奈</v>
      </c>
    </row>
    <row r="50" spans="1:67">
      <c r="A50" t="s">
        <v>633</v>
      </c>
      <c r="B50" t="str">
        <f>""</f>
        <v/>
      </c>
      <c r="C50" t="str">
        <f>""</f>
        <v/>
      </c>
      <c r="D50" t="str">
        <f>"GASKET"</f>
        <v>GASKET</v>
      </c>
      <c r="E50" t="str">
        <f t="shared" si="0"/>
        <v>1Y</v>
      </c>
      <c r="F50" t="str">
        <f t="shared" si="1"/>
        <v>第１工場</v>
      </c>
      <c r="G50" t="str">
        <f t="shared" si="2"/>
        <v>手配</v>
      </c>
      <c r="H50" t="str">
        <f t="shared" si="3"/>
        <v>Ｐ</v>
      </c>
      <c r="I50" t="str">
        <f>"0226"</f>
        <v>0226</v>
      </c>
      <c r="J50" t="str">
        <f>"伊藤金属工業（株）"</f>
        <v>伊藤金属工業（株）</v>
      </c>
      <c r="K50" t="str">
        <f t="shared" si="22"/>
        <v>01</v>
      </c>
      <c r="L50" t="str">
        <f>""</f>
        <v/>
      </c>
      <c r="M50" t="str">
        <f t="shared" si="53"/>
        <v>――</v>
      </c>
      <c r="N50" t="str">
        <f t="shared" si="53"/>
        <v>――</v>
      </c>
      <c r="O50" t="str">
        <f t="shared" si="5"/>
        <v>Ｍ</v>
      </c>
      <c r="P50" t="str">
        <f t="shared" si="6"/>
        <v>01</v>
      </c>
      <c r="Q50" t="str">
        <f t="shared" si="7"/>
        <v>第１</v>
      </c>
      <c r="R50" t="str">
        <f t="shared" si="8"/>
        <v>1Y</v>
      </c>
      <c r="S50" t="str">
        <f t="shared" si="9"/>
        <v>安城第１工場</v>
      </c>
      <c r="T50" t="str">
        <f t="shared" si="10"/>
        <v>直接</v>
      </c>
      <c r="U50" t="str">
        <f>""</f>
        <v/>
      </c>
      <c r="V50" t="str">
        <f>""</f>
        <v/>
      </c>
      <c r="W50" t="str">
        <f>""</f>
        <v/>
      </c>
      <c r="X50">
        <v>1</v>
      </c>
      <c r="Y50">
        <v>1</v>
      </c>
      <c r="Z50">
        <v>1.96</v>
      </c>
      <c r="AA50">
        <v>1.05</v>
      </c>
      <c r="AB50">
        <v>3</v>
      </c>
      <c r="AC50">
        <v>1.05</v>
      </c>
      <c r="AD50">
        <v>1.05</v>
      </c>
      <c r="AE50">
        <v>1.1000000000000001</v>
      </c>
      <c r="AF50">
        <v>0.5</v>
      </c>
      <c r="AG50" t="str">
        <f>"002"</f>
        <v>002</v>
      </c>
      <c r="AH50" t="str">
        <f>"伊藤金属工業（株）"</f>
        <v>伊藤金属工業（株）</v>
      </c>
      <c r="AI50" t="str">
        <f>"001"</f>
        <v>001</v>
      </c>
      <c r="AJ50" t="str">
        <f>"M-ST-1"</f>
        <v>M-ST-1</v>
      </c>
      <c r="AK50" t="str">
        <f>"20442"</f>
        <v>20442</v>
      </c>
      <c r="AL50" t="str">
        <f>"0450"</f>
        <v>0450</v>
      </c>
      <c r="AM50" t="str">
        <f>"ｶﾞｽｹﾂﾄ"</f>
        <v>ｶﾞｽｹﾂﾄ</v>
      </c>
      <c r="AN50" t="str">
        <f>"014"</f>
        <v>014</v>
      </c>
      <c r="AO50" t="str">
        <f>"TP-331 ﾊﾝﾖｳ"</f>
        <v>TP-331 ﾊﾝﾖｳ</v>
      </c>
      <c r="AP50">
        <v>2000</v>
      </c>
      <c r="AQ50" t="str">
        <f>""</f>
        <v/>
      </c>
      <c r="AR50" t="str">
        <f>""</f>
        <v/>
      </c>
      <c r="AS50" t="str">
        <f>""</f>
        <v/>
      </c>
      <c r="AT50" t="str">
        <f t="shared" si="11"/>
        <v>00</v>
      </c>
      <c r="AU50">
        <v>0.5</v>
      </c>
      <c r="AV50" t="str">
        <f>""</f>
        <v/>
      </c>
      <c r="AW50" t="str">
        <f t="shared" si="44"/>
        <v>08</v>
      </c>
      <c r="AX50" t="str">
        <f t="shared" si="45"/>
        <v>専用</v>
      </c>
      <c r="AY50" t="str">
        <f t="shared" si="46"/>
        <v>01</v>
      </c>
      <c r="AZ50" t="str">
        <f t="shared" si="47"/>
        <v>後補充</v>
      </c>
      <c r="BA50" t="str">
        <f>""</f>
        <v/>
      </c>
      <c r="BB50" t="str">
        <f>"ＴＰ３３１フタナシ"</f>
        <v>ＴＰ３３１フタナシ</v>
      </c>
      <c r="BC50" t="str">
        <f t="shared" si="56"/>
        <v xml:space="preserve"> 335.000</v>
      </c>
      <c r="BD50" t="str">
        <f t="shared" si="56"/>
        <v xml:space="preserve"> 335.000</v>
      </c>
      <c r="BE50" t="str">
        <f>" 103.000"</f>
        <v xml:space="preserve"> 103.000</v>
      </c>
      <c r="BF50" t="str">
        <f>"   0.012"</f>
        <v xml:space="preserve">   0.012</v>
      </c>
      <c r="BG50" t="str">
        <f>"   4.700"</f>
        <v xml:space="preserve">   4.700</v>
      </c>
      <c r="BH50" t="str">
        <f t="shared" si="12"/>
        <v>しない</v>
      </c>
      <c r="BI50" t="str">
        <f>""</f>
        <v/>
      </c>
      <c r="BJ50" t="str">
        <f t="shared" si="13"/>
        <v>MASTER01</v>
      </c>
      <c r="BK50" t="str">
        <f t="shared" si="48"/>
        <v>2022/04/19</v>
      </c>
      <c r="BL50" t="str">
        <f t="shared" si="14"/>
        <v>NE00</v>
      </c>
      <c r="BM50" t="str">
        <f t="shared" si="15"/>
        <v>１工工務Ｇ</v>
      </c>
      <c r="BN50" t="str">
        <f t="shared" si="28"/>
        <v>46548</v>
      </c>
      <c r="BO50" t="str">
        <f t="shared" si="29"/>
        <v>長畑　玲奈</v>
      </c>
    </row>
    <row r="51" spans="1:67">
      <c r="A51" t="s">
        <v>152</v>
      </c>
      <c r="B51" t="str">
        <f>""</f>
        <v/>
      </c>
      <c r="C51" t="str">
        <f>""</f>
        <v/>
      </c>
      <c r="D51" t="s">
        <v>25</v>
      </c>
      <c r="E51" t="str">
        <f t="shared" si="0"/>
        <v>1Y</v>
      </c>
      <c r="F51" t="str">
        <f t="shared" si="1"/>
        <v>第１工場</v>
      </c>
      <c r="G51" t="str">
        <f t="shared" si="2"/>
        <v>手配</v>
      </c>
      <c r="H51" t="str">
        <f t="shared" si="3"/>
        <v>Ｐ</v>
      </c>
      <c r="I51" t="str">
        <f>"0810"</f>
        <v>0810</v>
      </c>
      <c r="J51" t="str">
        <f>"（株）オーハシテクニカ"</f>
        <v>（株）オーハシテクニカ</v>
      </c>
      <c r="K51" t="str">
        <f t="shared" si="22"/>
        <v>01</v>
      </c>
      <c r="L51" t="str">
        <f>""</f>
        <v/>
      </c>
      <c r="M51" t="str">
        <f t="shared" si="53"/>
        <v>――</v>
      </c>
      <c r="N51" t="str">
        <f t="shared" si="53"/>
        <v>――</v>
      </c>
      <c r="O51" t="str">
        <f t="shared" si="5"/>
        <v>Ｍ</v>
      </c>
      <c r="P51" t="str">
        <f t="shared" si="6"/>
        <v>01</v>
      </c>
      <c r="Q51" t="str">
        <f t="shared" si="7"/>
        <v>第１</v>
      </c>
      <c r="R51" t="str">
        <f t="shared" si="8"/>
        <v>1Y</v>
      </c>
      <c r="S51" t="str">
        <f t="shared" si="9"/>
        <v>安城第１工場</v>
      </c>
      <c r="T51" t="str">
        <f t="shared" si="10"/>
        <v>直接</v>
      </c>
      <c r="U51" t="str">
        <f>""</f>
        <v/>
      </c>
      <c r="V51" t="str">
        <f>""</f>
        <v/>
      </c>
      <c r="W51" t="str">
        <f>""</f>
        <v/>
      </c>
      <c r="X51">
        <v>1</v>
      </c>
      <c r="Y51">
        <v>1</v>
      </c>
      <c r="Z51">
        <v>1.97</v>
      </c>
      <c r="AA51">
        <v>1.05</v>
      </c>
      <c r="AB51">
        <v>3</v>
      </c>
      <c r="AC51">
        <v>1.05</v>
      </c>
      <c r="AD51">
        <v>1.05</v>
      </c>
      <c r="AE51">
        <v>1.1000000000000001</v>
      </c>
      <c r="AF51">
        <v>0.5</v>
      </c>
      <c r="AG51" t="str">
        <f>"091"</f>
        <v>091</v>
      </c>
      <c r="AH51" t="str">
        <f>"（株）オーハシテクニカ"</f>
        <v>（株）オーハシテクニカ</v>
      </c>
      <c r="AI51" t="str">
        <f>"001"</f>
        <v>001</v>
      </c>
      <c r="AJ51" t="str">
        <f>"M-MG-24"</f>
        <v>M-MG-24</v>
      </c>
      <c r="AK51" t="str">
        <f>"30122"</f>
        <v>30122</v>
      </c>
      <c r="AL51" t="str">
        <f>"0941"</f>
        <v>0941</v>
      </c>
      <c r="AM51" t="s">
        <v>26</v>
      </c>
      <c r="AN51" t="str">
        <f>"056"</f>
        <v>056</v>
      </c>
      <c r="AO51" t="str">
        <f>"TP-331-5 ﾊﾝﾖｳ"</f>
        <v>TP-331-5 ﾊﾝﾖｳ</v>
      </c>
      <c r="AP51">
        <v>150</v>
      </c>
      <c r="AQ51" t="str">
        <f>""</f>
        <v/>
      </c>
      <c r="AR51" t="str">
        <f>""</f>
        <v/>
      </c>
      <c r="AS51" t="str">
        <f>""</f>
        <v/>
      </c>
      <c r="AT51" t="str">
        <f t="shared" si="11"/>
        <v>00</v>
      </c>
      <c r="AU51">
        <v>0.5</v>
      </c>
      <c r="AV51" t="str">
        <f>""</f>
        <v/>
      </c>
      <c r="AW51" t="str">
        <f t="shared" si="44"/>
        <v>08</v>
      </c>
      <c r="AX51" t="str">
        <f t="shared" si="45"/>
        <v>専用</v>
      </c>
      <c r="AY51" t="str">
        <f t="shared" si="46"/>
        <v>01</v>
      </c>
      <c r="AZ51" t="str">
        <f t="shared" si="47"/>
        <v>後補充</v>
      </c>
      <c r="BA51" t="str">
        <f>""</f>
        <v/>
      </c>
      <c r="BB51" t="str">
        <f>"ＴＰ３３１．５フタナシ"</f>
        <v>ＴＰ３３１．５フタナシ</v>
      </c>
      <c r="BC51" t="str">
        <f t="shared" si="56"/>
        <v xml:space="preserve"> 335.000</v>
      </c>
      <c r="BD51" t="str">
        <f t="shared" si="56"/>
        <v xml:space="preserve"> 335.000</v>
      </c>
      <c r="BE51" t="str">
        <f>" 149.000"</f>
        <v xml:space="preserve"> 149.000</v>
      </c>
      <c r="BF51" t="str">
        <f>"   0.017"</f>
        <v xml:space="preserve">   0.017</v>
      </c>
      <c r="BG51" t="str">
        <f>"   6.850"</f>
        <v xml:space="preserve">   6.850</v>
      </c>
      <c r="BH51" t="str">
        <f t="shared" si="12"/>
        <v>しない</v>
      </c>
      <c r="BI51" t="str">
        <f>""</f>
        <v/>
      </c>
      <c r="BJ51" t="str">
        <f t="shared" si="13"/>
        <v>MASTER01</v>
      </c>
      <c r="BK51" t="str">
        <f t="shared" si="48"/>
        <v>2022/04/19</v>
      </c>
      <c r="BL51" t="str">
        <f t="shared" si="14"/>
        <v>NE00</v>
      </c>
      <c r="BM51" t="str">
        <f t="shared" si="15"/>
        <v>１工工務Ｇ</v>
      </c>
      <c r="BN51" t="str">
        <f t="shared" si="28"/>
        <v>46548</v>
      </c>
      <c r="BO51" t="str">
        <f t="shared" si="29"/>
        <v>長畑　玲奈</v>
      </c>
    </row>
    <row r="52" spans="1:67">
      <c r="A52" t="s">
        <v>153</v>
      </c>
      <c r="B52" t="str">
        <f>""</f>
        <v/>
      </c>
      <c r="C52" t="str">
        <f>""</f>
        <v/>
      </c>
      <c r="D52" t="s">
        <v>27</v>
      </c>
      <c r="E52" t="str">
        <f t="shared" si="0"/>
        <v>1Y</v>
      </c>
      <c r="F52" t="str">
        <f t="shared" si="1"/>
        <v>第１工場</v>
      </c>
      <c r="G52" t="str">
        <f t="shared" si="2"/>
        <v>手配</v>
      </c>
      <c r="H52" t="str">
        <f t="shared" si="3"/>
        <v>Ｐ</v>
      </c>
      <c r="I52" t="str">
        <f>"0816"</f>
        <v>0816</v>
      </c>
      <c r="J52" t="str">
        <f>"大橋鉄工（株）"</f>
        <v>大橋鉄工（株）</v>
      </c>
      <c r="K52" t="str">
        <f t="shared" si="22"/>
        <v>01</v>
      </c>
      <c r="L52" t="str">
        <f>""</f>
        <v/>
      </c>
      <c r="M52" t="str">
        <f t="shared" si="53"/>
        <v>――</v>
      </c>
      <c r="N52" t="str">
        <f t="shared" si="53"/>
        <v>――</v>
      </c>
      <c r="O52" t="str">
        <f t="shared" si="5"/>
        <v>Ｍ</v>
      </c>
      <c r="P52" t="str">
        <f t="shared" si="6"/>
        <v>01</v>
      </c>
      <c r="Q52" t="str">
        <f t="shared" si="7"/>
        <v>第１</v>
      </c>
      <c r="R52" t="str">
        <f t="shared" si="8"/>
        <v>1Y</v>
      </c>
      <c r="S52" t="str">
        <f t="shared" si="9"/>
        <v>安城第１工場</v>
      </c>
      <c r="T52" t="str">
        <f t="shared" si="10"/>
        <v>直接</v>
      </c>
      <c r="U52" t="str">
        <f>""</f>
        <v/>
      </c>
      <c r="V52" t="str">
        <f>""</f>
        <v/>
      </c>
      <c r="W52" t="str">
        <f>""</f>
        <v/>
      </c>
      <c r="X52">
        <v>1</v>
      </c>
      <c r="Y52">
        <v>1</v>
      </c>
      <c r="Z52">
        <v>1.39</v>
      </c>
      <c r="AA52">
        <v>0.99</v>
      </c>
      <c r="AB52">
        <v>3</v>
      </c>
      <c r="AC52">
        <v>0.99</v>
      </c>
      <c r="AD52">
        <v>0.99</v>
      </c>
      <c r="AE52">
        <v>1.1000000000000001</v>
      </c>
      <c r="AF52">
        <v>0.5</v>
      </c>
      <c r="AG52" t="str">
        <f>"012"</f>
        <v>012</v>
      </c>
      <c r="AH52" t="str">
        <f>"大橋鉄工（株）"</f>
        <v>大橋鉄工（株）</v>
      </c>
      <c r="AI52" t="str">
        <f>"003"</f>
        <v>003</v>
      </c>
      <c r="AJ52" t="str">
        <f>""</f>
        <v/>
      </c>
      <c r="AK52" t="str">
        <f>""</f>
        <v/>
      </c>
      <c r="AL52" t="str">
        <f>"1905"</f>
        <v>1905</v>
      </c>
      <c r="AM52" t="s">
        <v>28</v>
      </c>
      <c r="AN52" t="str">
        <f>"014"</f>
        <v>014</v>
      </c>
      <c r="AO52" t="str">
        <f>"TP-331 ﾊﾝﾖｳ"</f>
        <v>TP-331 ﾊﾝﾖｳ</v>
      </c>
      <c r="AP52">
        <v>100</v>
      </c>
      <c r="AQ52" t="str">
        <f>""</f>
        <v/>
      </c>
      <c r="AR52" t="str">
        <f>""</f>
        <v/>
      </c>
      <c r="AS52" t="str">
        <f>""</f>
        <v/>
      </c>
      <c r="AT52" t="str">
        <f t="shared" si="11"/>
        <v>00</v>
      </c>
      <c r="AU52">
        <v>0.5</v>
      </c>
      <c r="AV52" t="str">
        <f>""</f>
        <v/>
      </c>
      <c r="AW52" t="str">
        <f>""</f>
        <v/>
      </c>
      <c r="AX52" t="str">
        <f>""</f>
        <v/>
      </c>
      <c r="AY52" t="str">
        <f>""</f>
        <v/>
      </c>
      <c r="AZ52" t="str">
        <f>""</f>
        <v/>
      </c>
      <c r="BA52" t="str">
        <f>""</f>
        <v/>
      </c>
      <c r="BB52" t="str">
        <f>"ＴＰ３３１フタナシ"</f>
        <v>ＴＰ３３１フタナシ</v>
      </c>
      <c r="BC52" t="str">
        <f t="shared" si="56"/>
        <v xml:space="preserve"> 335.000</v>
      </c>
      <c r="BD52" t="str">
        <f t="shared" si="56"/>
        <v xml:space="preserve"> 335.000</v>
      </c>
      <c r="BE52" t="str">
        <f>" 100.000"</f>
        <v xml:space="preserve"> 100.000</v>
      </c>
      <c r="BF52" t="str">
        <f>"   0.011"</f>
        <v xml:space="preserve">   0.011</v>
      </c>
      <c r="BG52" t="str">
        <f>"   7.010"</f>
        <v xml:space="preserve">   7.010</v>
      </c>
      <c r="BH52" t="str">
        <f t="shared" si="12"/>
        <v>しない</v>
      </c>
      <c r="BI52" t="str">
        <f>""</f>
        <v/>
      </c>
      <c r="BJ52" t="str">
        <f t="shared" si="13"/>
        <v>MASTER01</v>
      </c>
      <c r="BK52" t="str">
        <f>"2023/01/17"</f>
        <v>2023/01/17</v>
      </c>
      <c r="BL52" t="str">
        <f t="shared" si="14"/>
        <v>NE00</v>
      </c>
      <c r="BM52" t="str">
        <f t="shared" si="15"/>
        <v>１工工務Ｇ</v>
      </c>
      <c r="BN52" t="str">
        <f t="shared" si="28"/>
        <v>46548</v>
      </c>
      <c r="BO52" t="str">
        <f t="shared" si="29"/>
        <v>長畑　玲奈</v>
      </c>
    </row>
    <row r="53" spans="1:67">
      <c r="A53" t="s">
        <v>154</v>
      </c>
      <c r="B53" t="str">
        <f>""</f>
        <v/>
      </c>
      <c r="C53" t="str">
        <f>""</f>
        <v/>
      </c>
      <c r="D53" t="s">
        <v>27</v>
      </c>
      <c r="E53" t="str">
        <f t="shared" si="0"/>
        <v>1Y</v>
      </c>
      <c r="F53" t="str">
        <f t="shared" si="1"/>
        <v>第１工場</v>
      </c>
      <c r="G53" t="str">
        <f t="shared" si="2"/>
        <v>手配</v>
      </c>
      <c r="H53" t="str">
        <f t="shared" si="3"/>
        <v>Ｐ</v>
      </c>
      <c r="I53" t="str">
        <f>"0816"</f>
        <v>0816</v>
      </c>
      <c r="J53" t="str">
        <f>"大橋鉄工（株）"</f>
        <v>大橋鉄工（株）</v>
      </c>
      <c r="K53" t="str">
        <f t="shared" si="22"/>
        <v>01</v>
      </c>
      <c r="L53" t="str">
        <f>""</f>
        <v/>
      </c>
      <c r="M53" t="str">
        <f t="shared" si="53"/>
        <v>――</v>
      </c>
      <c r="N53" t="str">
        <f t="shared" si="53"/>
        <v>――</v>
      </c>
      <c r="O53" t="str">
        <f t="shared" si="5"/>
        <v>Ｍ</v>
      </c>
      <c r="P53" t="str">
        <f t="shared" si="6"/>
        <v>01</v>
      </c>
      <c r="Q53" t="str">
        <f t="shared" si="7"/>
        <v>第１</v>
      </c>
      <c r="R53" t="str">
        <f t="shared" si="8"/>
        <v>1Y</v>
      </c>
      <c r="S53" t="str">
        <f t="shared" si="9"/>
        <v>安城第１工場</v>
      </c>
      <c r="T53" t="str">
        <f t="shared" si="10"/>
        <v>直接</v>
      </c>
      <c r="U53" t="str">
        <f>""</f>
        <v/>
      </c>
      <c r="V53" t="str">
        <f>""</f>
        <v/>
      </c>
      <c r="W53" t="str">
        <f>""</f>
        <v/>
      </c>
      <c r="X53">
        <v>1</v>
      </c>
      <c r="Y53">
        <v>1</v>
      </c>
      <c r="Z53">
        <v>1.39</v>
      </c>
      <c r="AA53">
        <v>0.99</v>
      </c>
      <c r="AB53">
        <v>3</v>
      </c>
      <c r="AC53">
        <v>0.99</v>
      </c>
      <c r="AD53">
        <v>0.99</v>
      </c>
      <c r="AE53">
        <v>1.1000000000000001</v>
      </c>
      <c r="AF53">
        <v>0.5</v>
      </c>
      <c r="AG53" t="str">
        <f>"012"</f>
        <v>012</v>
      </c>
      <c r="AH53" t="str">
        <f>"大橋鉄工（株）"</f>
        <v>大橋鉄工（株）</v>
      </c>
      <c r="AI53" t="str">
        <f>"001"</f>
        <v>001</v>
      </c>
      <c r="AJ53" t="str">
        <f>"R-8-2"</f>
        <v>R-8-2</v>
      </c>
      <c r="AK53" t="str">
        <f>"20469"</f>
        <v>20469</v>
      </c>
      <c r="AL53" t="str">
        <f>"1905"</f>
        <v>1905</v>
      </c>
      <c r="AM53" t="s">
        <v>29</v>
      </c>
      <c r="AN53" t="str">
        <f>"014"</f>
        <v>014</v>
      </c>
      <c r="AO53" t="str">
        <f>"TP-331 ﾊﾝﾖｳ"</f>
        <v>TP-331 ﾊﾝﾖｳ</v>
      </c>
      <c r="AP53">
        <v>100</v>
      </c>
      <c r="AQ53" t="str">
        <f>""</f>
        <v/>
      </c>
      <c r="AR53" t="str">
        <f>""</f>
        <v/>
      </c>
      <c r="AS53" t="str">
        <f>""</f>
        <v/>
      </c>
      <c r="AT53" t="str">
        <f t="shared" si="11"/>
        <v>00</v>
      </c>
      <c r="AU53">
        <v>0.5</v>
      </c>
      <c r="AV53" t="str">
        <f>""</f>
        <v/>
      </c>
      <c r="AW53" t="str">
        <f>"08"</f>
        <v>08</v>
      </c>
      <c r="AX53" t="str">
        <f>"専用"</f>
        <v>専用</v>
      </c>
      <c r="AY53" t="str">
        <f>"01"</f>
        <v>01</v>
      </c>
      <c r="AZ53" t="str">
        <f>"後補充"</f>
        <v>後補充</v>
      </c>
      <c r="BA53" t="str">
        <f>""</f>
        <v/>
      </c>
      <c r="BB53" t="str">
        <f>"ＴＰ３３１フタナシ"</f>
        <v>ＴＰ３３１フタナシ</v>
      </c>
      <c r="BC53" t="str">
        <f t="shared" si="56"/>
        <v xml:space="preserve"> 335.000</v>
      </c>
      <c r="BD53" t="str">
        <f t="shared" si="56"/>
        <v xml:space="preserve"> 335.000</v>
      </c>
      <c r="BE53" t="str">
        <f>" 100.000"</f>
        <v xml:space="preserve"> 100.000</v>
      </c>
      <c r="BF53" t="str">
        <f>"   0.011"</f>
        <v xml:space="preserve">   0.011</v>
      </c>
      <c r="BG53" t="str">
        <f>"   5.837"</f>
        <v xml:space="preserve">   5.837</v>
      </c>
      <c r="BH53" t="str">
        <f t="shared" si="12"/>
        <v>しない</v>
      </c>
      <c r="BI53" t="str">
        <f>""</f>
        <v/>
      </c>
      <c r="BJ53" t="str">
        <f t="shared" si="13"/>
        <v>MASTER01</v>
      </c>
      <c r="BK53" t="str">
        <f>"2022/04/19"</f>
        <v>2022/04/19</v>
      </c>
      <c r="BL53" t="str">
        <f t="shared" si="14"/>
        <v>NE00</v>
      </c>
      <c r="BM53" t="str">
        <f t="shared" si="15"/>
        <v>１工工務Ｇ</v>
      </c>
      <c r="BN53" t="str">
        <f t="shared" si="28"/>
        <v>46548</v>
      </c>
      <c r="BO53" t="str">
        <f t="shared" si="29"/>
        <v>長畑　玲奈</v>
      </c>
    </row>
    <row r="54" spans="1:67">
      <c r="A54" t="s">
        <v>155</v>
      </c>
      <c r="B54" t="str">
        <f>""</f>
        <v/>
      </c>
      <c r="C54" t="str">
        <f>""</f>
        <v/>
      </c>
      <c r="D54" t="s">
        <v>8</v>
      </c>
      <c r="E54" t="str">
        <f t="shared" si="0"/>
        <v>1Y</v>
      </c>
      <c r="F54" t="str">
        <f t="shared" si="1"/>
        <v>第１工場</v>
      </c>
      <c r="G54" t="str">
        <f t="shared" si="2"/>
        <v>手配</v>
      </c>
      <c r="H54" t="str">
        <f t="shared" si="3"/>
        <v>Ｐ</v>
      </c>
      <c r="I54" t="str">
        <f>"0816"</f>
        <v>0816</v>
      </c>
      <c r="J54" t="str">
        <f>"大橋鉄工（株）"</f>
        <v>大橋鉄工（株）</v>
      </c>
      <c r="K54" t="str">
        <f t="shared" si="22"/>
        <v>01</v>
      </c>
      <c r="L54" t="str">
        <f>""</f>
        <v/>
      </c>
      <c r="M54" t="str">
        <f t="shared" si="53"/>
        <v>――</v>
      </c>
      <c r="N54" t="str">
        <f t="shared" si="53"/>
        <v>――</v>
      </c>
      <c r="O54" t="str">
        <f t="shared" si="5"/>
        <v>Ｍ</v>
      </c>
      <c r="P54" t="str">
        <f t="shared" si="6"/>
        <v>01</v>
      </c>
      <c r="Q54" t="str">
        <f t="shared" si="7"/>
        <v>第１</v>
      </c>
      <c r="R54" t="str">
        <f t="shared" si="8"/>
        <v>1Y</v>
      </c>
      <c r="S54" t="str">
        <f t="shared" si="9"/>
        <v>安城第１工場</v>
      </c>
      <c r="T54" t="str">
        <f t="shared" si="10"/>
        <v>直接</v>
      </c>
      <c r="U54" t="str">
        <f>""</f>
        <v/>
      </c>
      <c r="V54" t="str">
        <f>""</f>
        <v/>
      </c>
      <c r="W54" t="str">
        <f>""</f>
        <v/>
      </c>
      <c r="X54">
        <v>1</v>
      </c>
      <c r="Y54">
        <v>1</v>
      </c>
      <c r="Z54">
        <v>1.39</v>
      </c>
      <c r="AA54">
        <v>0.99</v>
      </c>
      <c r="AB54">
        <v>3</v>
      </c>
      <c r="AC54">
        <v>0.99</v>
      </c>
      <c r="AD54">
        <v>0.99</v>
      </c>
      <c r="AE54">
        <v>1.1000000000000001</v>
      </c>
      <c r="AF54">
        <v>0.5</v>
      </c>
      <c r="AG54" t="str">
        <f>"012"</f>
        <v>012</v>
      </c>
      <c r="AH54" t="str">
        <f>"大橋鉄工（株）"</f>
        <v>大橋鉄工（株）</v>
      </c>
      <c r="AI54" t="str">
        <f>"002"</f>
        <v>002</v>
      </c>
      <c r="AJ54" t="str">
        <f>""</f>
        <v/>
      </c>
      <c r="AK54" t="str">
        <f>""</f>
        <v/>
      </c>
      <c r="AL54" t="str">
        <f>"0521"</f>
        <v>0521</v>
      </c>
      <c r="AM54" t="str">
        <f>"ﾌﾟﾗｸﾞ ｳｲｽﾞﾍﾂﾄﾞｽﾄﾚ-ﾄｽｸﾘﾕ-"</f>
        <v>ﾌﾟﾗｸﾞ ｳｲｽﾞﾍﾂﾄﾞｽﾄﾚ-ﾄｽｸﾘﾕ-</v>
      </c>
      <c r="AN54" t="str">
        <f>"014"</f>
        <v>014</v>
      </c>
      <c r="AO54" t="str">
        <f>"TP-331 ﾊﾝﾖｳ"</f>
        <v>TP-331 ﾊﾝﾖｳ</v>
      </c>
      <c r="AP54">
        <v>100</v>
      </c>
      <c r="AQ54" t="str">
        <f>""</f>
        <v/>
      </c>
      <c r="AR54" t="str">
        <f>""</f>
        <v/>
      </c>
      <c r="AS54" t="str">
        <f>""</f>
        <v/>
      </c>
      <c r="AT54" t="str">
        <f t="shared" si="11"/>
        <v>00</v>
      </c>
      <c r="AU54">
        <v>0.5</v>
      </c>
      <c r="AV54" t="str">
        <f>""</f>
        <v/>
      </c>
      <c r="AW54" t="str">
        <f>""</f>
        <v/>
      </c>
      <c r="AX54" t="str">
        <f>""</f>
        <v/>
      </c>
      <c r="AY54" t="str">
        <f>""</f>
        <v/>
      </c>
      <c r="AZ54" t="str">
        <f>""</f>
        <v/>
      </c>
      <c r="BA54" t="str">
        <f>""</f>
        <v/>
      </c>
      <c r="BB54" t="str">
        <f>"ＴＰ３３１フタナシ"</f>
        <v>ＴＰ３３１フタナシ</v>
      </c>
      <c r="BC54" t="str">
        <f t="shared" si="56"/>
        <v xml:space="preserve"> 335.000</v>
      </c>
      <c r="BD54" t="str">
        <f t="shared" si="56"/>
        <v xml:space="preserve"> 335.000</v>
      </c>
      <c r="BE54" t="str">
        <f>" 100.000"</f>
        <v xml:space="preserve"> 100.000</v>
      </c>
      <c r="BF54" t="str">
        <f>"   0.011"</f>
        <v xml:space="preserve">   0.011</v>
      </c>
      <c r="BG54" t="str">
        <f>"   6.810"</f>
        <v xml:space="preserve">   6.810</v>
      </c>
      <c r="BH54" t="str">
        <f t="shared" si="12"/>
        <v>しない</v>
      </c>
      <c r="BI54" t="str">
        <f>""</f>
        <v/>
      </c>
      <c r="BJ54" t="str">
        <f t="shared" si="13"/>
        <v>MASTER01</v>
      </c>
      <c r="BK54" t="str">
        <f>"2023/01/17"</f>
        <v>2023/01/17</v>
      </c>
      <c r="BL54" t="str">
        <f t="shared" si="14"/>
        <v>NE00</v>
      </c>
      <c r="BM54" t="str">
        <f t="shared" si="15"/>
        <v>１工工務Ｇ</v>
      </c>
      <c r="BN54" t="str">
        <f t="shared" si="28"/>
        <v>46548</v>
      </c>
      <c r="BO54" t="str">
        <f t="shared" si="29"/>
        <v>長畑　玲奈</v>
      </c>
    </row>
    <row r="55" spans="1:67">
      <c r="A55" t="s">
        <v>156</v>
      </c>
      <c r="B55" t="str">
        <f>""</f>
        <v/>
      </c>
      <c r="C55" t="str">
        <f>""</f>
        <v/>
      </c>
      <c r="D55" t="s">
        <v>30</v>
      </c>
      <c r="E55" t="str">
        <f t="shared" si="0"/>
        <v>1Y</v>
      </c>
      <c r="F55" t="str">
        <f t="shared" si="1"/>
        <v>第１工場</v>
      </c>
      <c r="G55" t="str">
        <f t="shared" si="2"/>
        <v>手配</v>
      </c>
      <c r="H55" t="str">
        <f t="shared" si="3"/>
        <v>Ｐ</v>
      </c>
      <c r="I55" t="str">
        <f>"0831"</f>
        <v>0831</v>
      </c>
      <c r="J55" t="str">
        <f>"岡谷鋼機（株）"</f>
        <v>岡谷鋼機（株）</v>
      </c>
      <c r="K55" t="str">
        <f t="shared" si="22"/>
        <v>01</v>
      </c>
      <c r="L55" t="str">
        <f>"刈谷支店"</f>
        <v>刈谷支店</v>
      </c>
      <c r="M55" t="str">
        <f t="shared" si="53"/>
        <v>――</v>
      </c>
      <c r="N55" t="str">
        <f t="shared" si="53"/>
        <v>――</v>
      </c>
      <c r="O55" t="str">
        <f t="shared" si="5"/>
        <v>Ｍ</v>
      </c>
      <c r="P55" t="str">
        <f t="shared" si="6"/>
        <v>01</v>
      </c>
      <c r="Q55" t="str">
        <f t="shared" si="7"/>
        <v>第１</v>
      </c>
      <c r="R55" t="str">
        <f t="shared" si="8"/>
        <v>1Y</v>
      </c>
      <c r="S55" t="str">
        <f t="shared" si="9"/>
        <v>安城第１工場</v>
      </c>
      <c r="T55" t="str">
        <f t="shared" si="10"/>
        <v>直接</v>
      </c>
      <c r="U55" t="str">
        <f>""</f>
        <v/>
      </c>
      <c r="V55" t="str">
        <f>""</f>
        <v/>
      </c>
      <c r="W55" t="str">
        <f>""</f>
        <v/>
      </c>
      <c r="X55">
        <v>1</v>
      </c>
      <c r="Y55">
        <v>1</v>
      </c>
      <c r="Z55">
        <v>2.29</v>
      </c>
      <c r="AA55">
        <v>1.08</v>
      </c>
      <c r="AB55">
        <v>3</v>
      </c>
      <c r="AC55">
        <v>1.08</v>
      </c>
      <c r="AD55">
        <v>1.08</v>
      </c>
      <c r="AE55">
        <v>1.1000000000000001</v>
      </c>
      <c r="AF55">
        <v>0.5</v>
      </c>
      <c r="AG55" t="str">
        <f>"109"</f>
        <v>109</v>
      </c>
      <c r="AH55" t="str">
        <f>"岡谷鋼機（株）"</f>
        <v>岡谷鋼機（株）</v>
      </c>
      <c r="AI55" t="str">
        <f>"001"</f>
        <v>001</v>
      </c>
      <c r="AJ55" t="str">
        <f>"S-MG-1"</f>
        <v>S-MG-1</v>
      </c>
      <c r="AK55" t="str">
        <f>"40443"</f>
        <v>40443</v>
      </c>
      <c r="AL55" t="str">
        <f>"9118"</f>
        <v>9118</v>
      </c>
      <c r="AM55" t="str">
        <f>"ﾍﾞｱﾘﾝｸﾞﾗｼﾞｱﾙﾎﾞｰﾙ"</f>
        <v>ﾍﾞｱﾘﾝｸﾞﾗｼﾞｱﾙﾎﾞｰﾙ</v>
      </c>
      <c r="AN55" t="str">
        <f>"109"</f>
        <v>109</v>
      </c>
      <c r="AO55" t="str">
        <f>"ｻﾝﾎﾞｯｸｽ#9T"</f>
        <v>ｻﾝﾎﾞｯｸｽ#9T</v>
      </c>
      <c r="AP55">
        <v>90</v>
      </c>
      <c r="AQ55" t="str">
        <f>""</f>
        <v/>
      </c>
      <c r="AR55" t="str">
        <f>""</f>
        <v/>
      </c>
      <c r="AS55" t="str">
        <f>""</f>
        <v/>
      </c>
      <c r="AT55" t="str">
        <f t="shared" si="11"/>
        <v>00</v>
      </c>
      <c r="AU55">
        <v>0.5</v>
      </c>
      <c r="AV55" t="str">
        <f>""</f>
        <v/>
      </c>
      <c r="AW55" t="str">
        <f>"08"</f>
        <v>08</v>
      </c>
      <c r="AX55" t="str">
        <f>"専用"</f>
        <v>専用</v>
      </c>
      <c r="AY55" t="str">
        <f>"01"</f>
        <v>01</v>
      </c>
      <c r="AZ55" t="str">
        <f>"後補充"</f>
        <v>後補充</v>
      </c>
      <c r="BA55" t="str">
        <f>""</f>
        <v/>
      </c>
      <c r="BB55" t="str">
        <f>"サンボックス＃９Ｂフタナシ"</f>
        <v>サンボックス＃９Ｂフタナシ</v>
      </c>
      <c r="BC55" t="str">
        <f>" 355.000"</f>
        <v xml:space="preserve"> 355.000</v>
      </c>
      <c r="BD55" t="str">
        <f>" 270.000"</f>
        <v xml:space="preserve"> 270.000</v>
      </c>
      <c r="BE55" t="str">
        <f>" 132.000"</f>
        <v xml:space="preserve"> 132.000</v>
      </c>
      <c r="BF55" t="str">
        <f>"   0.013"</f>
        <v xml:space="preserve">   0.013</v>
      </c>
      <c r="BG55" t="str">
        <f>"  12.000"</f>
        <v xml:space="preserve">  12.000</v>
      </c>
      <c r="BH55" t="str">
        <f t="shared" si="12"/>
        <v>しない</v>
      </c>
      <c r="BI55" t="str">
        <f>""</f>
        <v/>
      </c>
      <c r="BJ55" t="str">
        <f t="shared" si="13"/>
        <v>MASTER01</v>
      </c>
      <c r="BK55" t="str">
        <f>"2022/04/19"</f>
        <v>2022/04/19</v>
      </c>
      <c r="BL55" t="str">
        <f t="shared" si="14"/>
        <v>NE00</v>
      </c>
      <c r="BM55" t="str">
        <f t="shared" si="15"/>
        <v>１工工務Ｇ</v>
      </c>
      <c r="BN55" t="str">
        <f t="shared" si="28"/>
        <v>46548</v>
      </c>
      <c r="BO55" t="str">
        <f t="shared" si="29"/>
        <v>長畑　玲奈</v>
      </c>
    </row>
    <row r="56" spans="1:67">
      <c r="A56" t="s">
        <v>157</v>
      </c>
      <c r="B56" t="str">
        <f>""</f>
        <v/>
      </c>
      <c r="C56" t="str">
        <f>""</f>
        <v/>
      </c>
      <c r="D56" t="s">
        <v>31</v>
      </c>
      <c r="E56" t="str">
        <f t="shared" si="0"/>
        <v>1Y</v>
      </c>
      <c r="F56" t="str">
        <f t="shared" si="1"/>
        <v>第１工場</v>
      </c>
      <c r="G56" t="str">
        <f t="shared" si="2"/>
        <v>手配</v>
      </c>
      <c r="H56" t="str">
        <f t="shared" si="3"/>
        <v>Ｐ</v>
      </c>
      <c r="I56" t="str">
        <f>"0834"</f>
        <v>0834</v>
      </c>
      <c r="J56" t="str">
        <f>"小川工業（株）"</f>
        <v>小川工業（株）</v>
      </c>
      <c r="K56" t="str">
        <f t="shared" si="22"/>
        <v>01</v>
      </c>
      <c r="L56" t="str">
        <f>""</f>
        <v/>
      </c>
      <c r="M56" t="str">
        <f t="shared" si="53"/>
        <v>――</v>
      </c>
      <c r="N56" t="str">
        <f t="shared" si="53"/>
        <v>――</v>
      </c>
      <c r="O56" t="str">
        <f t="shared" si="5"/>
        <v>Ｍ</v>
      </c>
      <c r="P56" t="str">
        <f t="shared" si="6"/>
        <v>01</v>
      </c>
      <c r="Q56" t="str">
        <f t="shared" si="7"/>
        <v>第１</v>
      </c>
      <c r="R56" t="str">
        <f t="shared" si="8"/>
        <v>1Y</v>
      </c>
      <c r="S56" t="str">
        <f t="shared" si="9"/>
        <v>安城第１工場</v>
      </c>
      <c r="T56" t="str">
        <f t="shared" si="10"/>
        <v>直接</v>
      </c>
      <c r="U56" t="str">
        <f>""</f>
        <v/>
      </c>
      <c r="V56" t="str">
        <f>""</f>
        <v/>
      </c>
      <c r="W56" t="str">
        <f>""</f>
        <v/>
      </c>
      <c r="X56">
        <v>1</v>
      </c>
      <c r="Y56">
        <v>2</v>
      </c>
      <c r="Z56">
        <v>5</v>
      </c>
      <c r="AA56">
        <v>1.1000000000000001</v>
      </c>
      <c r="AB56">
        <v>3</v>
      </c>
      <c r="AC56">
        <v>1.1000000000000001</v>
      </c>
      <c r="AD56">
        <v>1.1000000000000001</v>
      </c>
      <c r="AE56">
        <v>1.1000000000000001</v>
      </c>
      <c r="AF56">
        <v>0.5</v>
      </c>
      <c r="AG56" t="str">
        <f>"201"</f>
        <v>201</v>
      </c>
      <c r="AH56" t="str">
        <f>"小川工業（株）"</f>
        <v>小川工業（株）</v>
      </c>
      <c r="AI56" t="str">
        <f>"002"</f>
        <v>002</v>
      </c>
      <c r="AJ56" t="str">
        <f>""</f>
        <v/>
      </c>
      <c r="AK56" t="str">
        <f>""</f>
        <v/>
      </c>
      <c r="AL56" t="str">
        <f>"9146"</f>
        <v>9146</v>
      </c>
      <c r="AM56" t="str">
        <f>"ﾎﾟｰﾙ ﾊﾟｰｷﾝｸﾞ ﾛｯｸ"</f>
        <v>ﾎﾟｰﾙ ﾊﾟｰｷﾝｸﾞ ﾛｯｸ</v>
      </c>
      <c r="AN56" t="str">
        <f>"012"</f>
        <v>012</v>
      </c>
      <c r="AO56" t="str">
        <f>"TP-131 ﾊﾝﾖｳ"</f>
        <v>TP-131 ﾊﾝﾖｳ</v>
      </c>
      <c r="AP56">
        <v>56</v>
      </c>
      <c r="AQ56" t="str">
        <f>""</f>
        <v/>
      </c>
      <c r="AR56" t="str">
        <f>""</f>
        <v/>
      </c>
      <c r="AS56" t="str">
        <f>""</f>
        <v/>
      </c>
      <c r="AT56" t="str">
        <f t="shared" si="11"/>
        <v>00</v>
      </c>
      <c r="AU56">
        <v>0.5</v>
      </c>
      <c r="AV56" t="str">
        <f>""</f>
        <v/>
      </c>
      <c r="AW56" t="str">
        <f>""</f>
        <v/>
      </c>
      <c r="AX56" t="str">
        <f>""</f>
        <v/>
      </c>
      <c r="AY56" t="str">
        <f>""</f>
        <v/>
      </c>
      <c r="AZ56" t="str">
        <f>""</f>
        <v/>
      </c>
      <c r="BA56" t="str">
        <f>""</f>
        <v/>
      </c>
      <c r="BB56" t="str">
        <f>"ＴＰ１３１フタナシ"</f>
        <v>ＴＰ１３１フタナシ</v>
      </c>
      <c r="BC56" t="str">
        <f>" 335.000"</f>
        <v xml:space="preserve"> 335.000</v>
      </c>
      <c r="BD56" t="str">
        <f>" 168.000"</f>
        <v xml:space="preserve"> 168.000</v>
      </c>
      <c r="BE56" t="str">
        <f>" 103.000"</f>
        <v xml:space="preserve"> 103.000</v>
      </c>
      <c r="BF56" t="str">
        <f>"   0.006"</f>
        <v xml:space="preserve">   0.006</v>
      </c>
      <c r="BG56" t="str">
        <f>"   7.950"</f>
        <v xml:space="preserve">   7.950</v>
      </c>
      <c r="BH56" t="str">
        <f t="shared" si="12"/>
        <v>しない</v>
      </c>
      <c r="BI56" t="str">
        <f>""</f>
        <v/>
      </c>
      <c r="BJ56" t="str">
        <f t="shared" si="13"/>
        <v>MASTER01</v>
      </c>
      <c r="BK56" t="str">
        <f>"2023/01/17"</f>
        <v>2023/01/17</v>
      </c>
      <c r="BL56" t="str">
        <f t="shared" si="14"/>
        <v>NE00</v>
      </c>
      <c r="BM56" t="str">
        <f t="shared" si="15"/>
        <v>１工工務Ｇ</v>
      </c>
      <c r="BN56" t="str">
        <f t="shared" si="28"/>
        <v>46548</v>
      </c>
      <c r="BO56" t="str">
        <f t="shared" si="29"/>
        <v>長畑　玲奈</v>
      </c>
    </row>
    <row r="57" spans="1:67">
      <c r="A57" t="s">
        <v>158</v>
      </c>
      <c r="B57" t="str">
        <f>""</f>
        <v/>
      </c>
      <c r="C57" t="str">
        <f>""</f>
        <v/>
      </c>
      <c r="D57" t="s">
        <v>31</v>
      </c>
      <c r="E57" t="str">
        <f t="shared" si="0"/>
        <v>1Y</v>
      </c>
      <c r="F57" t="str">
        <f t="shared" si="1"/>
        <v>第１工場</v>
      </c>
      <c r="G57" t="str">
        <f t="shared" si="2"/>
        <v>手配</v>
      </c>
      <c r="H57" t="str">
        <f t="shared" si="3"/>
        <v>Ｐ</v>
      </c>
      <c r="I57" t="str">
        <f>"0834"</f>
        <v>0834</v>
      </c>
      <c r="J57" t="str">
        <f>"小川工業（株）"</f>
        <v>小川工業（株）</v>
      </c>
      <c r="K57" t="str">
        <f t="shared" si="22"/>
        <v>01</v>
      </c>
      <c r="L57" t="str">
        <f>""</f>
        <v/>
      </c>
      <c r="M57" t="str">
        <f t="shared" si="53"/>
        <v>――</v>
      </c>
      <c r="N57" t="str">
        <f t="shared" si="53"/>
        <v>――</v>
      </c>
      <c r="O57" t="str">
        <f t="shared" si="5"/>
        <v>Ｍ</v>
      </c>
      <c r="P57" t="str">
        <f t="shared" si="6"/>
        <v>01</v>
      </c>
      <c r="Q57" t="str">
        <f t="shared" si="7"/>
        <v>第１</v>
      </c>
      <c r="R57" t="str">
        <f t="shared" si="8"/>
        <v>1Y</v>
      </c>
      <c r="S57" t="str">
        <f t="shared" si="9"/>
        <v>安城第１工場</v>
      </c>
      <c r="T57" t="str">
        <f t="shared" si="10"/>
        <v>直接</v>
      </c>
      <c r="U57" t="str">
        <f>""</f>
        <v/>
      </c>
      <c r="V57" t="str">
        <f>""</f>
        <v/>
      </c>
      <c r="W57" t="str">
        <f>""</f>
        <v/>
      </c>
      <c r="X57">
        <v>1</v>
      </c>
      <c r="Y57">
        <v>2</v>
      </c>
      <c r="Z57">
        <v>5</v>
      </c>
      <c r="AA57">
        <v>1.1000000000000001</v>
      </c>
      <c r="AB57">
        <v>3</v>
      </c>
      <c r="AC57">
        <v>1.1000000000000001</v>
      </c>
      <c r="AD57">
        <v>1.1000000000000001</v>
      </c>
      <c r="AE57">
        <v>1.1000000000000001</v>
      </c>
      <c r="AF57">
        <v>0.5</v>
      </c>
      <c r="AG57" t="str">
        <f>"201"</f>
        <v>201</v>
      </c>
      <c r="AH57" t="str">
        <f>"小川工業（株）"</f>
        <v>小川工業（株）</v>
      </c>
      <c r="AI57" t="str">
        <f>"001"</f>
        <v>001</v>
      </c>
      <c r="AJ57" t="str">
        <f>"S-TA-2-17"</f>
        <v>S-TA-2-17</v>
      </c>
      <c r="AK57" t="str">
        <f>"10456"</f>
        <v>10456</v>
      </c>
      <c r="AL57" t="str">
        <f>"9146"</f>
        <v>9146</v>
      </c>
      <c r="AM57" t="str">
        <f>"ﾎﾟｰﾙﾊﾟｰｷﾝｸﾞﾛｯｸ"</f>
        <v>ﾎﾟｰﾙﾊﾟｰｷﾝｸﾞﾛｯｸ</v>
      </c>
      <c r="AN57" t="str">
        <f>"012"</f>
        <v>012</v>
      </c>
      <c r="AO57" t="str">
        <f>"TP-131 ﾊﾝﾖｳ"</f>
        <v>TP-131 ﾊﾝﾖｳ</v>
      </c>
      <c r="AP57">
        <v>46</v>
      </c>
      <c r="AQ57" t="str">
        <f>""</f>
        <v/>
      </c>
      <c r="AR57" t="str">
        <f>""</f>
        <v/>
      </c>
      <c r="AS57" t="str">
        <f>""</f>
        <v/>
      </c>
      <c r="AT57" t="str">
        <f t="shared" si="11"/>
        <v>00</v>
      </c>
      <c r="AU57">
        <v>0.5</v>
      </c>
      <c r="AV57" t="str">
        <f>""</f>
        <v/>
      </c>
      <c r="AW57" t="str">
        <f t="shared" ref="AW57:AW62" si="57">"08"</f>
        <v>08</v>
      </c>
      <c r="AX57" t="str">
        <f t="shared" ref="AX57:AX62" si="58">"専用"</f>
        <v>専用</v>
      </c>
      <c r="AY57" t="str">
        <f t="shared" ref="AY57:AY62" si="59">"01"</f>
        <v>01</v>
      </c>
      <c r="AZ57" t="str">
        <f t="shared" ref="AZ57:AZ62" si="60">"後補充"</f>
        <v>後補充</v>
      </c>
      <c r="BA57" t="str">
        <f>""</f>
        <v/>
      </c>
      <c r="BB57" t="str">
        <f>"ＴＰ１３１フタナシ"</f>
        <v>ＴＰ１３１フタナシ</v>
      </c>
      <c r="BC57" t="str">
        <f>" 335.000"</f>
        <v xml:space="preserve"> 335.000</v>
      </c>
      <c r="BD57" t="str">
        <f>" 168.000"</f>
        <v xml:space="preserve"> 168.000</v>
      </c>
      <c r="BE57" t="str">
        <f>" 103.000"</f>
        <v xml:space="preserve"> 103.000</v>
      </c>
      <c r="BF57" t="str">
        <f>"   0.006"</f>
        <v xml:space="preserve">   0.006</v>
      </c>
      <c r="BG57" t="str">
        <f>"   9.466"</f>
        <v xml:space="preserve">   9.466</v>
      </c>
      <c r="BH57" t="str">
        <f t="shared" si="12"/>
        <v>しない</v>
      </c>
      <c r="BI57" t="str">
        <f>""</f>
        <v/>
      </c>
      <c r="BJ57" t="str">
        <f t="shared" si="13"/>
        <v>MASTER01</v>
      </c>
      <c r="BK57" t="str">
        <f t="shared" ref="BK57:BK62" si="61">"2022/04/19"</f>
        <v>2022/04/19</v>
      </c>
      <c r="BL57" t="str">
        <f t="shared" si="14"/>
        <v>NE00</v>
      </c>
      <c r="BM57" t="str">
        <f t="shared" si="15"/>
        <v>１工工務Ｇ</v>
      </c>
      <c r="BN57" t="str">
        <f t="shared" si="28"/>
        <v>46548</v>
      </c>
      <c r="BO57" t="str">
        <f t="shared" si="29"/>
        <v>長畑　玲奈</v>
      </c>
    </row>
    <row r="58" spans="1:67">
      <c r="A58" t="s">
        <v>159</v>
      </c>
      <c r="B58" t="str">
        <f>""</f>
        <v/>
      </c>
      <c r="C58" t="str">
        <f>""</f>
        <v/>
      </c>
      <c r="D58" t="s">
        <v>32</v>
      </c>
      <c r="E58" t="str">
        <f t="shared" si="0"/>
        <v>1Y</v>
      </c>
      <c r="F58" t="str">
        <f t="shared" si="1"/>
        <v>第１工場</v>
      </c>
      <c r="G58" t="str">
        <f t="shared" si="2"/>
        <v>手配</v>
      </c>
      <c r="H58" t="str">
        <f t="shared" si="3"/>
        <v>Ｐ</v>
      </c>
      <c r="I58" t="str">
        <f>"0930"</f>
        <v>0930</v>
      </c>
      <c r="J58" t="str">
        <f>"（株）オンド"</f>
        <v>（株）オンド</v>
      </c>
      <c r="K58" t="str">
        <f t="shared" si="22"/>
        <v>01</v>
      </c>
      <c r="L58" t="str">
        <f>"本社工場"</f>
        <v>本社工場</v>
      </c>
      <c r="M58" t="str">
        <f t="shared" si="53"/>
        <v>――</v>
      </c>
      <c r="N58" t="str">
        <f t="shared" si="53"/>
        <v>――</v>
      </c>
      <c r="O58" t="str">
        <f t="shared" si="5"/>
        <v>Ｍ</v>
      </c>
      <c r="P58" t="str">
        <f t="shared" si="6"/>
        <v>01</v>
      </c>
      <c r="Q58" t="str">
        <f t="shared" si="7"/>
        <v>第１</v>
      </c>
      <c r="R58" t="str">
        <f t="shared" si="8"/>
        <v>1Y</v>
      </c>
      <c r="S58" t="str">
        <f t="shared" si="9"/>
        <v>安城第１工場</v>
      </c>
      <c r="T58" t="str">
        <f t="shared" si="10"/>
        <v>直接</v>
      </c>
      <c r="U58" t="str">
        <f>""</f>
        <v/>
      </c>
      <c r="V58" t="str">
        <f>""</f>
        <v/>
      </c>
      <c r="W58" t="str">
        <f>""</f>
        <v/>
      </c>
      <c r="X58">
        <v>1</v>
      </c>
      <c r="Y58">
        <v>4</v>
      </c>
      <c r="Z58">
        <v>4</v>
      </c>
      <c r="AA58">
        <v>1.31</v>
      </c>
      <c r="AB58">
        <v>3</v>
      </c>
      <c r="AC58">
        <v>1.31</v>
      </c>
      <c r="AD58">
        <v>1.31</v>
      </c>
      <c r="AE58">
        <v>1.1000000000000001</v>
      </c>
      <c r="AF58">
        <v>0.5</v>
      </c>
      <c r="AG58" t="str">
        <f>"200"</f>
        <v>200</v>
      </c>
      <c r="AH58" t="str">
        <f>"（株）オンド"</f>
        <v>（株）オンド</v>
      </c>
      <c r="AI58" t="str">
        <f>"001"</f>
        <v>001</v>
      </c>
      <c r="AJ58" t="str">
        <f>"S-G-1"</f>
        <v>S-G-1</v>
      </c>
      <c r="AK58" t="str">
        <f>"60123"</f>
        <v>60123</v>
      </c>
      <c r="AL58" t="str">
        <f>"0001"</f>
        <v>0001</v>
      </c>
      <c r="AM58" t="str">
        <f>"ﾃﾞﾌｹｰｽS/A"</f>
        <v>ﾃﾞﾌｹｰｽS/A</v>
      </c>
      <c r="AN58" t="str">
        <f>"142"</f>
        <v>142</v>
      </c>
      <c r="AO58" t="str">
        <f>"ｻﾝﾎﾞｯｸｽ#24-A"</f>
        <v>ｻﾝﾎﾞｯｸｽ#24-A</v>
      </c>
      <c r="AP58">
        <v>2</v>
      </c>
      <c r="AQ58" t="str">
        <f>""</f>
        <v/>
      </c>
      <c r="AR58" t="str">
        <f>""</f>
        <v/>
      </c>
      <c r="AS58" t="str">
        <f>""</f>
        <v/>
      </c>
      <c r="AT58" t="str">
        <f t="shared" si="11"/>
        <v>00</v>
      </c>
      <c r="AU58">
        <v>0.5</v>
      </c>
      <c r="AV58" t="str">
        <f>""</f>
        <v/>
      </c>
      <c r="AW58" t="str">
        <f t="shared" si="57"/>
        <v>08</v>
      </c>
      <c r="AX58" t="str">
        <f t="shared" si="58"/>
        <v>専用</v>
      </c>
      <c r="AY58" t="str">
        <f t="shared" si="59"/>
        <v>01</v>
      </c>
      <c r="AZ58" t="str">
        <f t="shared" si="60"/>
        <v>後補充</v>
      </c>
      <c r="BA58" t="str">
        <f>""</f>
        <v/>
      </c>
      <c r="BB58" t="str">
        <f>"サンボックス＃２４Ａフタアリ"</f>
        <v>サンボックス＃２４Ａフタアリ</v>
      </c>
      <c r="BC58" t="str">
        <f>" 424.000"</f>
        <v xml:space="preserve"> 424.000</v>
      </c>
      <c r="BD58" t="str">
        <f>" 292.000"</f>
        <v xml:space="preserve"> 292.000</v>
      </c>
      <c r="BE58" t="str">
        <f>" 270.000"</f>
        <v xml:space="preserve"> 270.000</v>
      </c>
      <c r="BF58" t="str">
        <f>"   0.033"</f>
        <v xml:space="preserve">   0.033</v>
      </c>
      <c r="BG58" t="str">
        <f>"  16.990"</f>
        <v xml:space="preserve">  16.990</v>
      </c>
      <c r="BH58" t="str">
        <f t="shared" si="12"/>
        <v>しない</v>
      </c>
      <c r="BI58" t="str">
        <f>""</f>
        <v/>
      </c>
      <c r="BJ58" t="str">
        <f t="shared" si="13"/>
        <v>MASTER01</v>
      </c>
      <c r="BK58" t="str">
        <f t="shared" si="61"/>
        <v>2022/04/19</v>
      </c>
      <c r="BL58" t="str">
        <f t="shared" si="14"/>
        <v>NE00</v>
      </c>
      <c r="BM58" t="str">
        <f t="shared" si="15"/>
        <v>１工工務Ｇ</v>
      </c>
      <c r="BN58" t="str">
        <f t="shared" si="28"/>
        <v>46548</v>
      </c>
      <c r="BO58" t="str">
        <f t="shared" si="29"/>
        <v>長畑　玲奈</v>
      </c>
    </row>
    <row r="59" spans="1:67">
      <c r="A59" t="s">
        <v>160</v>
      </c>
      <c r="B59" t="str">
        <f>""</f>
        <v/>
      </c>
      <c r="C59" t="str">
        <f>""</f>
        <v/>
      </c>
      <c r="D59" t="s">
        <v>699</v>
      </c>
      <c r="E59" t="str">
        <f t="shared" si="0"/>
        <v>1Y</v>
      </c>
      <c r="F59" t="str">
        <f t="shared" si="1"/>
        <v>第１工場</v>
      </c>
      <c r="G59" t="str">
        <f t="shared" si="2"/>
        <v>手配</v>
      </c>
      <c r="H59" t="str">
        <f t="shared" si="3"/>
        <v>Ｐ</v>
      </c>
      <c r="I59" t="str">
        <f>"0930"</f>
        <v>0930</v>
      </c>
      <c r="J59" t="str">
        <f>"（株）オンド"</f>
        <v>（株）オンド</v>
      </c>
      <c r="K59" t="str">
        <f t="shared" si="22"/>
        <v>01</v>
      </c>
      <c r="L59" t="str">
        <f>"本社工場"</f>
        <v>本社工場</v>
      </c>
      <c r="M59" t="str">
        <f t="shared" si="53"/>
        <v>――</v>
      </c>
      <c r="N59" t="str">
        <f t="shared" si="53"/>
        <v>――</v>
      </c>
      <c r="O59" t="str">
        <f t="shared" si="5"/>
        <v>Ｍ</v>
      </c>
      <c r="P59" t="str">
        <f t="shared" si="6"/>
        <v>01</v>
      </c>
      <c r="Q59" t="str">
        <f t="shared" si="7"/>
        <v>第１</v>
      </c>
      <c r="R59" t="str">
        <f t="shared" si="8"/>
        <v>1Y</v>
      </c>
      <c r="S59" t="str">
        <f t="shared" si="9"/>
        <v>安城第１工場</v>
      </c>
      <c r="T59" t="str">
        <f t="shared" si="10"/>
        <v>直接</v>
      </c>
      <c r="U59" t="str">
        <f>""</f>
        <v/>
      </c>
      <c r="V59" t="str">
        <f>""</f>
        <v/>
      </c>
      <c r="W59" t="str">
        <f>""</f>
        <v/>
      </c>
      <c r="X59">
        <v>1</v>
      </c>
      <c r="Y59">
        <v>4</v>
      </c>
      <c r="Z59">
        <v>4</v>
      </c>
      <c r="AA59">
        <v>1.31</v>
      </c>
      <c r="AB59">
        <v>3</v>
      </c>
      <c r="AC59">
        <v>1.31</v>
      </c>
      <c r="AD59">
        <v>1.31</v>
      </c>
      <c r="AE59">
        <v>1.1000000000000001</v>
      </c>
      <c r="AF59">
        <v>0.5</v>
      </c>
      <c r="AG59" t="str">
        <f>"200"</f>
        <v>200</v>
      </c>
      <c r="AH59" t="str">
        <f>"（株）オンド"</f>
        <v>（株）オンド</v>
      </c>
      <c r="AI59" t="str">
        <f>"002"</f>
        <v>002</v>
      </c>
      <c r="AJ59" t="str">
        <f>"S-G-1"</f>
        <v>S-G-1</v>
      </c>
      <c r="AK59" t="str">
        <f>"60124"</f>
        <v>60124</v>
      </c>
      <c r="AL59" t="str">
        <f>"1017"</f>
        <v>1017</v>
      </c>
      <c r="AM59" t="str">
        <f>"ｷﾞﾔﾃﾞﾌﾘﾝｸﾞ"</f>
        <v>ｷﾞﾔﾃﾞﾌﾘﾝｸﾞ</v>
      </c>
      <c r="AN59" t="str">
        <f>"142"</f>
        <v>142</v>
      </c>
      <c r="AO59" t="str">
        <f>"ｻﾝﾎﾞｯｸｽ#24-A"</f>
        <v>ｻﾝﾎﾞｯｸｽ#24-A</v>
      </c>
      <c r="AP59">
        <v>2</v>
      </c>
      <c r="AQ59" t="str">
        <f>""</f>
        <v/>
      </c>
      <c r="AR59" t="str">
        <f>""</f>
        <v/>
      </c>
      <c r="AS59" t="str">
        <f>""</f>
        <v/>
      </c>
      <c r="AT59" t="str">
        <f t="shared" si="11"/>
        <v>00</v>
      </c>
      <c r="AU59">
        <v>0.5</v>
      </c>
      <c r="AV59" t="str">
        <f>""</f>
        <v/>
      </c>
      <c r="AW59" t="str">
        <f t="shared" si="57"/>
        <v>08</v>
      </c>
      <c r="AX59" t="str">
        <f t="shared" si="58"/>
        <v>専用</v>
      </c>
      <c r="AY59" t="str">
        <f t="shared" si="59"/>
        <v>01</v>
      </c>
      <c r="AZ59" t="str">
        <f t="shared" si="60"/>
        <v>後補充</v>
      </c>
      <c r="BA59" t="str">
        <f>""</f>
        <v/>
      </c>
      <c r="BB59" t="str">
        <f>"サンボックス＃２４Ａフタアリ"</f>
        <v>サンボックス＃２４Ａフタアリ</v>
      </c>
      <c r="BC59" t="str">
        <f>" 424.000"</f>
        <v xml:space="preserve"> 424.000</v>
      </c>
      <c r="BD59" t="str">
        <f>" 292.000"</f>
        <v xml:space="preserve"> 292.000</v>
      </c>
      <c r="BE59" t="str">
        <f>" 270.000"</f>
        <v xml:space="preserve"> 270.000</v>
      </c>
      <c r="BF59" t="str">
        <f>"   0.033"</f>
        <v xml:space="preserve">   0.033</v>
      </c>
      <c r="BG59" t="str">
        <f>"  14.510"</f>
        <v xml:space="preserve">  14.510</v>
      </c>
      <c r="BH59" t="str">
        <f t="shared" si="12"/>
        <v>しない</v>
      </c>
      <c r="BI59" t="str">
        <f>""</f>
        <v/>
      </c>
      <c r="BJ59" t="str">
        <f t="shared" si="13"/>
        <v>MASTER01</v>
      </c>
      <c r="BK59" t="str">
        <f t="shared" si="61"/>
        <v>2022/04/19</v>
      </c>
      <c r="BL59" t="str">
        <f t="shared" si="14"/>
        <v>NE00</v>
      </c>
      <c r="BM59" t="str">
        <f t="shared" si="15"/>
        <v>１工工務Ｇ</v>
      </c>
      <c r="BN59" t="str">
        <f t="shared" si="28"/>
        <v>46548</v>
      </c>
      <c r="BO59" t="str">
        <f t="shared" si="29"/>
        <v>長畑　玲奈</v>
      </c>
    </row>
    <row r="60" spans="1:67">
      <c r="A60" t="s">
        <v>634</v>
      </c>
      <c r="B60" t="str">
        <f>""</f>
        <v/>
      </c>
      <c r="C60" t="str">
        <f>""</f>
        <v/>
      </c>
      <c r="D60" t="s">
        <v>33</v>
      </c>
      <c r="E60" t="str">
        <f t="shared" si="0"/>
        <v>1Y</v>
      </c>
      <c r="F60" t="str">
        <f t="shared" si="1"/>
        <v>第１工場</v>
      </c>
      <c r="G60" t="str">
        <f t="shared" si="2"/>
        <v>手配</v>
      </c>
      <c r="H60" t="str">
        <f t="shared" si="3"/>
        <v>Ｐ</v>
      </c>
      <c r="I60" t="str">
        <f>"1014"</f>
        <v>1014</v>
      </c>
      <c r="J60" t="str">
        <f>"（株）ギフ加藤製作所"</f>
        <v>（株）ギフ加藤製作所</v>
      </c>
      <c r="K60" t="str">
        <f t="shared" si="22"/>
        <v>01</v>
      </c>
      <c r="L60" t="str">
        <f>"本社工場（ＡＷ発行拠点）"</f>
        <v>本社工場（ＡＷ発行拠点）</v>
      </c>
      <c r="M60" t="str">
        <f t="shared" si="53"/>
        <v>――</v>
      </c>
      <c r="N60" t="str">
        <f t="shared" si="53"/>
        <v>――</v>
      </c>
      <c r="O60" t="str">
        <f t="shared" si="5"/>
        <v>Ｍ</v>
      </c>
      <c r="P60" t="str">
        <f t="shared" si="6"/>
        <v>01</v>
      </c>
      <c r="Q60" t="str">
        <f t="shared" si="7"/>
        <v>第１</v>
      </c>
      <c r="R60" t="str">
        <f t="shared" si="8"/>
        <v>1Y</v>
      </c>
      <c r="S60" t="str">
        <f t="shared" si="9"/>
        <v>安城第１工場</v>
      </c>
      <c r="T60" t="str">
        <f t="shared" si="10"/>
        <v>直接</v>
      </c>
      <c r="U60" t="str">
        <f>""</f>
        <v/>
      </c>
      <c r="V60" t="str">
        <f>""</f>
        <v/>
      </c>
      <c r="W60" t="str">
        <f>""</f>
        <v/>
      </c>
      <c r="X60">
        <v>1</v>
      </c>
      <c r="Y60">
        <v>2</v>
      </c>
      <c r="Z60">
        <v>3.8</v>
      </c>
      <c r="AA60">
        <v>1.1100000000000001</v>
      </c>
      <c r="AB60">
        <v>3</v>
      </c>
      <c r="AC60">
        <v>1.1100000000000001</v>
      </c>
      <c r="AD60">
        <v>1.1100000000000001</v>
      </c>
      <c r="AE60">
        <v>1.1000000000000001</v>
      </c>
      <c r="AF60">
        <v>0.5</v>
      </c>
      <c r="AG60" t="str">
        <f>"015"</f>
        <v>015</v>
      </c>
      <c r="AH60" t="str">
        <f>"（株）ギフ加藤製作所"</f>
        <v>（株）ギフ加藤製作所</v>
      </c>
      <c r="AI60" t="str">
        <f>"001"</f>
        <v>001</v>
      </c>
      <c r="AJ60" t="str">
        <f>"M-3"</f>
        <v>M-3</v>
      </c>
      <c r="AK60" t="str">
        <f>"10127"</f>
        <v>10127</v>
      </c>
      <c r="AL60" t="str">
        <f>"0434"</f>
        <v>0434</v>
      </c>
      <c r="AM60" t="str">
        <f>"ﾋﾟﾝｽﾄﾚ-ﾄ"</f>
        <v>ﾋﾟﾝｽﾄﾚ-ﾄ</v>
      </c>
      <c r="AN60" t="str">
        <f>"051"</f>
        <v>051</v>
      </c>
      <c r="AO60" t="str">
        <f>"AW-131 ｾﾝﾖｳ"</f>
        <v>AW-131 ｾﾝﾖｳ</v>
      </c>
      <c r="AP60">
        <v>1000</v>
      </c>
      <c r="AQ60" t="str">
        <f>""</f>
        <v/>
      </c>
      <c r="AR60" t="str">
        <f>""</f>
        <v/>
      </c>
      <c r="AS60" t="str">
        <f>""</f>
        <v/>
      </c>
      <c r="AT60" t="str">
        <f t="shared" si="11"/>
        <v>00</v>
      </c>
      <c r="AU60">
        <v>0.5</v>
      </c>
      <c r="AV60" t="str">
        <f>""</f>
        <v/>
      </c>
      <c r="AW60" t="str">
        <f t="shared" si="57"/>
        <v>08</v>
      </c>
      <c r="AX60" t="str">
        <f t="shared" si="58"/>
        <v>専用</v>
      </c>
      <c r="AY60" t="str">
        <f t="shared" si="59"/>
        <v>01</v>
      </c>
      <c r="AZ60" t="str">
        <f t="shared" si="60"/>
        <v>後補充</v>
      </c>
      <c r="BA60" t="str">
        <f>""</f>
        <v/>
      </c>
      <c r="BB60" t="str">
        <f>"ＡＷ１３１フタナシ"</f>
        <v>ＡＷ１３１フタナシ</v>
      </c>
      <c r="BC60" t="str">
        <f>" 165.000"</f>
        <v xml:space="preserve"> 165.000</v>
      </c>
      <c r="BD60" t="str">
        <f>" 330.000"</f>
        <v xml:space="preserve"> 330.000</v>
      </c>
      <c r="BE60" t="str">
        <f>" 100.000"</f>
        <v xml:space="preserve"> 100.000</v>
      </c>
      <c r="BF60" t="str">
        <f>"   0.005"</f>
        <v xml:space="preserve">   0.005</v>
      </c>
      <c r="BG60" t="str">
        <f>"  13.400"</f>
        <v xml:space="preserve">  13.400</v>
      </c>
      <c r="BH60" t="str">
        <f t="shared" si="12"/>
        <v>しない</v>
      </c>
      <c r="BI60" t="str">
        <f>""</f>
        <v/>
      </c>
      <c r="BJ60" t="str">
        <f t="shared" si="13"/>
        <v>MASTER01</v>
      </c>
      <c r="BK60" t="str">
        <f t="shared" si="61"/>
        <v>2022/04/19</v>
      </c>
      <c r="BL60" t="str">
        <f t="shared" si="14"/>
        <v>NE00</v>
      </c>
      <c r="BM60" t="str">
        <f t="shared" si="15"/>
        <v>１工工務Ｇ</v>
      </c>
      <c r="BN60" t="str">
        <f t="shared" si="28"/>
        <v>46548</v>
      </c>
      <c r="BO60" t="str">
        <f t="shared" si="29"/>
        <v>長畑　玲奈</v>
      </c>
    </row>
    <row r="61" spans="1:67">
      <c r="A61" t="s">
        <v>161</v>
      </c>
      <c r="B61" t="str">
        <f>""</f>
        <v/>
      </c>
      <c r="C61" t="str">
        <f>""</f>
        <v/>
      </c>
      <c r="D61" t="s">
        <v>34</v>
      </c>
      <c r="E61" t="str">
        <f t="shared" si="0"/>
        <v>1Y</v>
      </c>
      <c r="F61" t="str">
        <f t="shared" si="1"/>
        <v>第１工場</v>
      </c>
      <c r="G61" t="str">
        <f t="shared" si="2"/>
        <v>手配</v>
      </c>
      <c r="H61" t="str">
        <f t="shared" si="3"/>
        <v>Ｐ</v>
      </c>
      <c r="I61" t="str">
        <f>"1014"</f>
        <v>1014</v>
      </c>
      <c r="J61" t="str">
        <f>"（株）ギフ加藤製作所"</f>
        <v>（株）ギフ加藤製作所</v>
      </c>
      <c r="K61" t="str">
        <f t="shared" si="22"/>
        <v>01</v>
      </c>
      <c r="L61" t="str">
        <f>"本社工場（ＡＷ発行拠点）"</f>
        <v>本社工場（ＡＷ発行拠点）</v>
      </c>
      <c r="M61" t="str">
        <f t="shared" si="53"/>
        <v>――</v>
      </c>
      <c r="N61" t="str">
        <f t="shared" si="53"/>
        <v>――</v>
      </c>
      <c r="O61" t="str">
        <f t="shared" si="5"/>
        <v>Ｍ</v>
      </c>
      <c r="P61" t="str">
        <f t="shared" si="6"/>
        <v>01</v>
      </c>
      <c r="Q61" t="str">
        <f t="shared" si="7"/>
        <v>第１</v>
      </c>
      <c r="R61" t="str">
        <f t="shared" si="8"/>
        <v>1Y</v>
      </c>
      <c r="S61" t="str">
        <f t="shared" si="9"/>
        <v>安城第１工場</v>
      </c>
      <c r="T61" t="str">
        <f t="shared" si="10"/>
        <v>直接</v>
      </c>
      <c r="U61" t="str">
        <f>""</f>
        <v/>
      </c>
      <c r="V61" t="str">
        <f>""</f>
        <v/>
      </c>
      <c r="W61" t="str">
        <f>""</f>
        <v/>
      </c>
      <c r="X61">
        <v>1</v>
      </c>
      <c r="Y61">
        <v>2</v>
      </c>
      <c r="Z61">
        <v>3.8</v>
      </c>
      <c r="AA61">
        <v>1.1100000000000001</v>
      </c>
      <c r="AB61">
        <v>3</v>
      </c>
      <c r="AC61">
        <v>1.1100000000000001</v>
      </c>
      <c r="AD61">
        <v>1.1100000000000001</v>
      </c>
      <c r="AE61">
        <v>1.1000000000000001</v>
      </c>
      <c r="AF61">
        <v>0.5</v>
      </c>
      <c r="AG61" t="str">
        <f>"015"</f>
        <v>015</v>
      </c>
      <c r="AH61" t="str">
        <f>"（株）ギフ加藤製作所"</f>
        <v>（株）ギフ加藤製作所</v>
      </c>
      <c r="AI61" t="str">
        <f>"002"</f>
        <v>002</v>
      </c>
      <c r="AJ61" t="str">
        <f>"R-7-1"</f>
        <v>R-7-1</v>
      </c>
      <c r="AK61" t="str">
        <f>"10126"</f>
        <v>10126</v>
      </c>
      <c r="AL61" t="str">
        <f>"0419"</f>
        <v>0419</v>
      </c>
      <c r="AM61" t="str">
        <f>"ｼｬﾌﾄﾊﾟｰｷﾝｸﾞﾛｯｸﾎﾟｰﾙ"</f>
        <v>ｼｬﾌﾄﾊﾟｰｷﾝｸﾞﾛｯｸﾎﾟｰﾙ</v>
      </c>
      <c r="AN61" t="str">
        <f>"012"</f>
        <v>012</v>
      </c>
      <c r="AO61" t="str">
        <f>"TP-131 ﾊﾝﾖｳ"</f>
        <v>TP-131 ﾊﾝﾖｳ</v>
      </c>
      <c r="AP61">
        <v>100</v>
      </c>
      <c r="AQ61" t="str">
        <f>""</f>
        <v/>
      </c>
      <c r="AR61" t="str">
        <f>""</f>
        <v/>
      </c>
      <c r="AS61" t="str">
        <f>""</f>
        <v/>
      </c>
      <c r="AT61" t="str">
        <f t="shared" si="11"/>
        <v>00</v>
      </c>
      <c r="AU61">
        <v>0.5</v>
      </c>
      <c r="AV61" t="str">
        <f>""</f>
        <v/>
      </c>
      <c r="AW61" t="str">
        <f t="shared" si="57"/>
        <v>08</v>
      </c>
      <c r="AX61" t="str">
        <f t="shared" si="58"/>
        <v>専用</v>
      </c>
      <c r="AY61" t="str">
        <f t="shared" si="59"/>
        <v>01</v>
      </c>
      <c r="AZ61" t="str">
        <f t="shared" si="60"/>
        <v>後補充</v>
      </c>
      <c r="BA61" t="str">
        <f>""</f>
        <v/>
      </c>
      <c r="BB61" t="str">
        <f>"ＡＷ１３１フタナシ"</f>
        <v>ＡＷ１３１フタナシ</v>
      </c>
      <c r="BC61" t="str">
        <f>" 165.000"</f>
        <v xml:space="preserve"> 165.000</v>
      </c>
      <c r="BD61" t="str">
        <f>" 330.000"</f>
        <v xml:space="preserve"> 330.000</v>
      </c>
      <c r="BE61" t="str">
        <f>" 100.000"</f>
        <v xml:space="preserve"> 100.000</v>
      </c>
      <c r="BF61" t="str">
        <f>"   0.005"</f>
        <v xml:space="preserve">   0.005</v>
      </c>
      <c r="BG61" t="str">
        <f>"   7.000"</f>
        <v xml:space="preserve">   7.000</v>
      </c>
      <c r="BH61" t="str">
        <f t="shared" si="12"/>
        <v>しない</v>
      </c>
      <c r="BI61" t="str">
        <f>""</f>
        <v/>
      </c>
      <c r="BJ61" t="str">
        <f t="shared" si="13"/>
        <v>MASTER01</v>
      </c>
      <c r="BK61" t="str">
        <f t="shared" si="61"/>
        <v>2022/04/19</v>
      </c>
      <c r="BL61" t="str">
        <f t="shared" si="14"/>
        <v>NE00</v>
      </c>
      <c r="BM61" t="str">
        <f t="shared" si="15"/>
        <v>１工工務Ｇ</v>
      </c>
      <c r="BN61" t="str">
        <f t="shared" si="28"/>
        <v>46548</v>
      </c>
      <c r="BO61" t="str">
        <f t="shared" si="29"/>
        <v>長畑　玲奈</v>
      </c>
    </row>
    <row r="62" spans="1:67">
      <c r="A62" t="s">
        <v>162</v>
      </c>
      <c r="B62" t="str">
        <f>""</f>
        <v/>
      </c>
      <c r="C62" t="str">
        <f>""</f>
        <v/>
      </c>
      <c r="D62" t="s">
        <v>33</v>
      </c>
      <c r="E62" t="str">
        <f t="shared" si="0"/>
        <v>1Y</v>
      </c>
      <c r="F62" t="str">
        <f t="shared" si="1"/>
        <v>第１工場</v>
      </c>
      <c r="G62" t="str">
        <f t="shared" si="2"/>
        <v>手配</v>
      </c>
      <c r="H62" t="str">
        <f t="shared" si="3"/>
        <v>Ｐ</v>
      </c>
      <c r="I62" t="str">
        <f>"1014"</f>
        <v>1014</v>
      </c>
      <c r="J62" t="str">
        <f>"（株）ギフ加藤製作所"</f>
        <v>（株）ギフ加藤製作所</v>
      </c>
      <c r="K62" t="str">
        <f t="shared" si="22"/>
        <v>01</v>
      </c>
      <c r="L62" t="str">
        <f>"本社工場（ＡＷ発行拠点）"</f>
        <v>本社工場（ＡＷ発行拠点）</v>
      </c>
      <c r="M62" t="str">
        <f t="shared" ref="M62:N81" si="62">"――"</f>
        <v>――</v>
      </c>
      <c r="N62" t="str">
        <f t="shared" si="62"/>
        <v>――</v>
      </c>
      <c r="O62" t="str">
        <f t="shared" si="5"/>
        <v>Ｍ</v>
      </c>
      <c r="P62" t="str">
        <f t="shared" si="6"/>
        <v>01</v>
      </c>
      <c r="Q62" t="str">
        <f t="shared" si="7"/>
        <v>第１</v>
      </c>
      <c r="R62" t="str">
        <f t="shared" si="8"/>
        <v>1Y</v>
      </c>
      <c r="S62" t="str">
        <f t="shared" si="9"/>
        <v>安城第１工場</v>
      </c>
      <c r="T62" t="str">
        <f t="shared" si="10"/>
        <v>直接</v>
      </c>
      <c r="U62" t="str">
        <f>""</f>
        <v/>
      </c>
      <c r="V62" t="str">
        <f>""</f>
        <v/>
      </c>
      <c r="W62" t="str">
        <f>""</f>
        <v/>
      </c>
      <c r="X62">
        <v>1</v>
      </c>
      <c r="Y62">
        <v>2</v>
      </c>
      <c r="Z62">
        <v>3.8</v>
      </c>
      <c r="AA62">
        <v>1.1100000000000001</v>
      </c>
      <c r="AB62">
        <v>3</v>
      </c>
      <c r="AC62">
        <v>1.1100000000000001</v>
      </c>
      <c r="AD62">
        <v>1.1100000000000001</v>
      </c>
      <c r="AE62">
        <v>1.1000000000000001</v>
      </c>
      <c r="AF62">
        <v>0.5</v>
      </c>
      <c r="AG62" t="str">
        <f>"015"</f>
        <v>015</v>
      </c>
      <c r="AH62" t="str">
        <f>"（株）ギフ加藤製作所"</f>
        <v>（株）ギフ加藤製作所</v>
      </c>
      <c r="AI62" t="str">
        <f>"003"</f>
        <v>003</v>
      </c>
      <c r="AJ62" t="str">
        <f>"M-C-1-9"</f>
        <v>M-C-1-9</v>
      </c>
      <c r="AK62" t="str">
        <f>"10125"</f>
        <v>10125</v>
      </c>
      <c r="AL62" t="str">
        <f>"0434"</f>
        <v>0434</v>
      </c>
      <c r="AM62" t="str">
        <f>"ﾋﾟﾝｽﾄﾚ-ﾄ"</f>
        <v>ﾋﾟﾝｽﾄﾚ-ﾄ</v>
      </c>
      <c r="AN62" t="str">
        <f>"051"</f>
        <v>051</v>
      </c>
      <c r="AO62" t="str">
        <f>"AW-131 ｾﾝﾖｳ"</f>
        <v>AW-131 ｾﾝﾖｳ</v>
      </c>
      <c r="AP62">
        <v>200</v>
      </c>
      <c r="AQ62" t="str">
        <f>""</f>
        <v/>
      </c>
      <c r="AR62" t="str">
        <f>""</f>
        <v/>
      </c>
      <c r="AS62" t="str">
        <f>""</f>
        <v/>
      </c>
      <c r="AT62" t="str">
        <f t="shared" si="11"/>
        <v>00</v>
      </c>
      <c r="AU62">
        <v>0.5</v>
      </c>
      <c r="AV62" t="str">
        <f>""</f>
        <v/>
      </c>
      <c r="AW62" t="str">
        <f t="shared" si="57"/>
        <v>08</v>
      </c>
      <c r="AX62" t="str">
        <f t="shared" si="58"/>
        <v>専用</v>
      </c>
      <c r="AY62" t="str">
        <f t="shared" si="59"/>
        <v>01</v>
      </c>
      <c r="AZ62" t="str">
        <f t="shared" si="60"/>
        <v>後補充</v>
      </c>
      <c r="BA62" t="str">
        <f>""</f>
        <v/>
      </c>
      <c r="BB62" t="str">
        <f>"ＡＷ１３１フタナシ"</f>
        <v>ＡＷ１３１フタナシ</v>
      </c>
      <c r="BC62" t="str">
        <f>" 165.000"</f>
        <v xml:space="preserve"> 165.000</v>
      </c>
      <c r="BD62" t="str">
        <f>" 330.000"</f>
        <v xml:space="preserve"> 330.000</v>
      </c>
      <c r="BE62" t="str">
        <f>" 100.000"</f>
        <v xml:space="preserve"> 100.000</v>
      </c>
      <c r="BF62" t="str">
        <f>"   0.005"</f>
        <v xml:space="preserve">   0.005</v>
      </c>
      <c r="BG62" t="str">
        <f>"   0.840"</f>
        <v xml:space="preserve">   0.840</v>
      </c>
      <c r="BH62" t="str">
        <f t="shared" si="12"/>
        <v>しない</v>
      </c>
      <c r="BI62" t="str">
        <f>""</f>
        <v/>
      </c>
      <c r="BJ62" t="str">
        <f t="shared" si="13"/>
        <v>MASTER01</v>
      </c>
      <c r="BK62" t="str">
        <f t="shared" si="61"/>
        <v>2022/04/19</v>
      </c>
      <c r="BL62" t="str">
        <f t="shared" si="14"/>
        <v>NE00</v>
      </c>
      <c r="BM62" t="str">
        <f t="shared" si="15"/>
        <v>１工工務Ｇ</v>
      </c>
      <c r="BN62" t="str">
        <f t="shared" si="28"/>
        <v>46548</v>
      </c>
      <c r="BO62" t="str">
        <f t="shared" si="29"/>
        <v>長畑　玲奈</v>
      </c>
    </row>
    <row r="63" spans="1:67">
      <c r="A63" t="s">
        <v>163</v>
      </c>
      <c r="B63" t="str">
        <f>""</f>
        <v/>
      </c>
      <c r="C63" t="str">
        <f>""</f>
        <v/>
      </c>
      <c r="D63" t="s">
        <v>696</v>
      </c>
      <c r="E63" t="str">
        <f t="shared" si="0"/>
        <v>1Y</v>
      </c>
      <c r="F63" t="str">
        <f t="shared" si="1"/>
        <v>第１工場</v>
      </c>
      <c r="G63" t="str">
        <f t="shared" si="2"/>
        <v>手配</v>
      </c>
      <c r="H63" t="str">
        <f t="shared" si="3"/>
        <v>Ｐ</v>
      </c>
      <c r="I63" t="str">
        <f>"1042"</f>
        <v>1042</v>
      </c>
      <c r="J63" t="str">
        <f>"マレリ（株）"</f>
        <v>マレリ（株）</v>
      </c>
      <c r="K63" t="str">
        <f>"04"</f>
        <v>04</v>
      </c>
      <c r="L63" t="str">
        <f>"澁澤倉庫"</f>
        <v>澁澤倉庫</v>
      </c>
      <c r="M63" t="str">
        <f t="shared" si="62"/>
        <v>――</v>
      </c>
      <c r="N63" t="str">
        <f t="shared" si="62"/>
        <v>――</v>
      </c>
      <c r="O63" t="str">
        <f t="shared" si="5"/>
        <v>Ｍ</v>
      </c>
      <c r="P63" t="str">
        <f t="shared" si="6"/>
        <v>01</v>
      </c>
      <c r="Q63" t="str">
        <f t="shared" si="7"/>
        <v>第１</v>
      </c>
      <c r="R63" t="str">
        <f t="shared" si="8"/>
        <v>1Y</v>
      </c>
      <c r="S63" t="str">
        <f t="shared" si="9"/>
        <v>安城第１工場</v>
      </c>
      <c r="T63" t="str">
        <f t="shared" si="10"/>
        <v>直接</v>
      </c>
      <c r="U63" t="str">
        <f>""</f>
        <v/>
      </c>
      <c r="V63" t="str">
        <f>""</f>
        <v/>
      </c>
      <c r="W63" t="str">
        <f>""</f>
        <v/>
      </c>
      <c r="X63">
        <v>1</v>
      </c>
      <c r="Y63">
        <v>2</v>
      </c>
      <c r="Z63">
        <v>3.92</v>
      </c>
      <c r="AA63">
        <v>1.23</v>
      </c>
      <c r="AB63">
        <v>3</v>
      </c>
      <c r="AC63">
        <v>1.23</v>
      </c>
      <c r="AD63">
        <v>1.23</v>
      </c>
      <c r="AE63">
        <v>1.1000000000000001</v>
      </c>
      <c r="AF63">
        <v>0.5</v>
      </c>
      <c r="AG63" t="str">
        <f>"207"</f>
        <v>207</v>
      </c>
      <c r="AH63" t="str">
        <f>"マレリ（株）"</f>
        <v>マレリ（株）</v>
      </c>
      <c r="AI63" t="str">
        <f>"003"</f>
        <v>003</v>
      </c>
      <c r="AJ63" t="str">
        <f>""</f>
        <v/>
      </c>
      <c r="AK63" t="str">
        <f>""</f>
        <v/>
      </c>
      <c r="AL63" t="str">
        <f>"9000"</f>
        <v>9000</v>
      </c>
      <c r="AM63" t="str">
        <f>"ｵｲﾙｸｰﾗｰASSY"</f>
        <v>ｵｲﾙｸｰﾗｰASSY</v>
      </c>
      <c r="AN63" t="str">
        <f>"056"</f>
        <v>056</v>
      </c>
      <c r="AO63" t="str">
        <f>"TP-331-5 ﾊﾝﾖｳ"</f>
        <v>TP-331-5 ﾊﾝﾖｳ</v>
      </c>
      <c r="AP63">
        <v>4</v>
      </c>
      <c r="AQ63" t="str">
        <f>""</f>
        <v/>
      </c>
      <c r="AR63" t="str">
        <f>""</f>
        <v/>
      </c>
      <c r="AS63" t="str">
        <f>""</f>
        <v/>
      </c>
      <c r="AT63" t="str">
        <f t="shared" si="11"/>
        <v>00</v>
      </c>
      <c r="AU63">
        <v>0.5</v>
      </c>
      <c r="AV63" t="str">
        <f>""</f>
        <v/>
      </c>
      <c r="AW63" t="str">
        <f>""</f>
        <v/>
      </c>
      <c r="AX63" t="str">
        <f>""</f>
        <v/>
      </c>
      <c r="AY63" t="str">
        <f>""</f>
        <v/>
      </c>
      <c r="AZ63" t="str">
        <f>""</f>
        <v/>
      </c>
      <c r="BA63" t="str">
        <f>""</f>
        <v/>
      </c>
      <c r="BB63" t="str">
        <f>"ＴＰ３３１．５フタアリ"</f>
        <v>ＴＰ３３１．５フタアリ</v>
      </c>
      <c r="BC63" t="str">
        <f t="shared" ref="BC63:BD65" si="63">" 335.000"</f>
        <v xml:space="preserve"> 335.000</v>
      </c>
      <c r="BD63" t="str">
        <f t="shared" si="63"/>
        <v xml:space="preserve"> 335.000</v>
      </c>
      <c r="BE63" t="str">
        <f>" 149.000"</f>
        <v xml:space="preserve"> 149.000</v>
      </c>
      <c r="BF63" t="str">
        <f>"   0.017"</f>
        <v xml:space="preserve">   0.017</v>
      </c>
      <c r="BG63" t="str">
        <f>"   0.019"</f>
        <v xml:space="preserve">   0.019</v>
      </c>
      <c r="BH63" t="str">
        <f t="shared" si="12"/>
        <v>しない</v>
      </c>
      <c r="BI63" t="str">
        <f>""</f>
        <v/>
      </c>
      <c r="BJ63" t="str">
        <f t="shared" si="13"/>
        <v>MASTER01</v>
      </c>
      <c r="BK63" t="str">
        <f>"2023/01/17"</f>
        <v>2023/01/17</v>
      </c>
      <c r="BL63" t="str">
        <f t="shared" si="14"/>
        <v>NE00</v>
      </c>
      <c r="BM63" t="str">
        <f t="shared" si="15"/>
        <v>１工工務Ｇ</v>
      </c>
      <c r="BN63" t="str">
        <f t="shared" si="28"/>
        <v>46548</v>
      </c>
      <c r="BO63" t="str">
        <f t="shared" si="29"/>
        <v>長畑　玲奈</v>
      </c>
    </row>
    <row r="64" spans="1:67">
      <c r="A64" t="s">
        <v>164</v>
      </c>
      <c r="B64" t="str">
        <f>""</f>
        <v/>
      </c>
      <c r="C64" t="str">
        <f>""</f>
        <v/>
      </c>
      <c r="D64" t="s">
        <v>35</v>
      </c>
      <c r="E64" t="str">
        <f t="shared" si="0"/>
        <v>1Y</v>
      </c>
      <c r="F64" t="str">
        <f t="shared" si="1"/>
        <v>第１工場</v>
      </c>
      <c r="G64" t="str">
        <f t="shared" si="2"/>
        <v>手配</v>
      </c>
      <c r="H64" t="str">
        <f t="shared" si="3"/>
        <v>Ｐ</v>
      </c>
      <c r="I64" t="str">
        <f>"1042"</f>
        <v>1042</v>
      </c>
      <c r="J64" t="str">
        <f>"マレリ（株）"</f>
        <v>マレリ（株）</v>
      </c>
      <c r="K64" t="str">
        <f>"04"</f>
        <v>04</v>
      </c>
      <c r="L64" t="str">
        <f>"澁澤倉庫"</f>
        <v>澁澤倉庫</v>
      </c>
      <c r="M64" t="str">
        <f t="shared" si="62"/>
        <v>――</v>
      </c>
      <c r="N64" t="str">
        <f t="shared" si="62"/>
        <v>――</v>
      </c>
      <c r="O64" t="str">
        <f t="shared" si="5"/>
        <v>Ｍ</v>
      </c>
      <c r="P64" t="str">
        <f t="shared" si="6"/>
        <v>01</v>
      </c>
      <c r="Q64" t="str">
        <f t="shared" si="7"/>
        <v>第１</v>
      </c>
      <c r="R64" t="str">
        <f t="shared" si="8"/>
        <v>1Y</v>
      </c>
      <c r="S64" t="str">
        <f t="shared" si="9"/>
        <v>安城第１工場</v>
      </c>
      <c r="T64" t="str">
        <f t="shared" si="10"/>
        <v>直接</v>
      </c>
      <c r="U64" t="str">
        <f>""</f>
        <v/>
      </c>
      <c r="V64" t="str">
        <f>""</f>
        <v/>
      </c>
      <c r="W64" t="str">
        <f>""</f>
        <v/>
      </c>
      <c r="X64">
        <v>1</v>
      </c>
      <c r="Y64">
        <v>2</v>
      </c>
      <c r="Z64">
        <v>3.92</v>
      </c>
      <c r="AA64">
        <v>1.23</v>
      </c>
      <c r="AB64">
        <v>3</v>
      </c>
      <c r="AC64">
        <v>1.23</v>
      </c>
      <c r="AD64">
        <v>1.23</v>
      </c>
      <c r="AE64">
        <v>1.1000000000000001</v>
      </c>
      <c r="AF64">
        <v>0.5</v>
      </c>
      <c r="AG64" t="str">
        <f>"207"</f>
        <v>207</v>
      </c>
      <c r="AH64" t="str">
        <f>"マレリ（株）"</f>
        <v>マレリ（株）</v>
      </c>
      <c r="AI64" t="str">
        <f>"001"</f>
        <v>001</v>
      </c>
      <c r="AJ64" t="str">
        <f>"I1-7"</f>
        <v>I1-7</v>
      </c>
      <c r="AK64" t="str">
        <f>"30439"</f>
        <v>30439</v>
      </c>
      <c r="AL64" t="str">
        <f>"9000"</f>
        <v>9000</v>
      </c>
      <c r="AM64" t="str">
        <f>"ｵｲﾙｸｰﾗｰASSY"</f>
        <v>ｵｲﾙｸｰﾗｰASSY</v>
      </c>
      <c r="AN64" t="str">
        <f>"016"</f>
        <v>016</v>
      </c>
      <c r="AO64" t="str">
        <f>"TP-332 ﾊﾝﾖｳ"</f>
        <v>TP-332 ﾊﾝﾖｳ</v>
      </c>
      <c r="AP64">
        <v>4</v>
      </c>
      <c r="AQ64" t="str">
        <f>""</f>
        <v/>
      </c>
      <c r="AR64" t="str">
        <f>""</f>
        <v/>
      </c>
      <c r="AS64" t="str">
        <f>""</f>
        <v/>
      </c>
      <c r="AT64" t="str">
        <f t="shared" si="11"/>
        <v>00</v>
      </c>
      <c r="AU64">
        <v>0.5</v>
      </c>
      <c r="AV64" t="str">
        <f>""</f>
        <v/>
      </c>
      <c r="AW64" t="str">
        <f t="shared" ref="AW64:AW72" si="64">"08"</f>
        <v>08</v>
      </c>
      <c r="AX64" t="str">
        <f t="shared" ref="AX64:AX72" si="65">"専用"</f>
        <v>専用</v>
      </c>
      <c r="AY64" t="str">
        <f t="shared" ref="AY64:AY72" si="66">"01"</f>
        <v>01</v>
      </c>
      <c r="AZ64" t="str">
        <f t="shared" ref="AZ64:AZ72" si="67">"後補充"</f>
        <v>後補充</v>
      </c>
      <c r="BA64" t="str">
        <f>""</f>
        <v/>
      </c>
      <c r="BB64" t="str">
        <f>"ＴＰ３３１．５フタアリ"</f>
        <v>ＴＰ３３１．５フタアリ</v>
      </c>
      <c r="BC64" t="str">
        <f t="shared" si="63"/>
        <v xml:space="preserve"> 335.000</v>
      </c>
      <c r="BD64" t="str">
        <f t="shared" si="63"/>
        <v xml:space="preserve"> 335.000</v>
      </c>
      <c r="BE64" t="str">
        <f>" 165.000"</f>
        <v xml:space="preserve"> 165.000</v>
      </c>
      <c r="BF64" t="str">
        <f>"   0.019"</f>
        <v xml:space="preserve">   0.019</v>
      </c>
      <c r="BG64" t="str">
        <f>"   0.019"</f>
        <v xml:space="preserve">   0.019</v>
      </c>
      <c r="BH64" t="str">
        <f t="shared" si="12"/>
        <v>しない</v>
      </c>
      <c r="BI64" t="str">
        <f>""</f>
        <v/>
      </c>
      <c r="BJ64" t="str">
        <f t="shared" si="13"/>
        <v>MASTER01</v>
      </c>
      <c r="BK64" t="str">
        <f t="shared" ref="BK64:BK72" si="68">"2022/04/19"</f>
        <v>2022/04/19</v>
      </c>
      <c r="BL64" t="str">
        <f t="shared" si="14"/>
        <v>NE00</v>
      </c>
      <c r="BM64" t="str">
        <f t="shared" si="15"/>
        <v>１工工務Ｇ</v>
      </c>
      <c r="BN64" t="str">
        <f t="shared" si="28"/>
        <v>46548</v>
      </c>
      <c r="BO64" t="str">
        <f t="shared" si="29"/>
        <v>長畑　玲奈</v>
      </c>
    </row>
    <row r="65" spans="1:67">
      <c r="A65" t="s">
        <v>695</v>
      </c>
      <c r="B65" t="str">
        <f>""</f>
        <v/>
      </c>
      <c r="C65" t="str">
        <f>""</f>
        <v/>
      </c>
      <c r="D65" t="s">
        <v>696</v>
      </c>
      <c r="E65" t="str">
        <f t="shared" si="0"/>
        <v>1Y</v>
      </c>
      <c r="F65" t="str">
        <f t="shared" si="1"/>
        <v>第１工場</v>
      </c>
      <c r="G65" t="str">
        <f t="shared" si="2"/>
        <v>手配</v>
      </c>
      <c r="H65" t="str">
        <f t="shared" si="3"/>
        <v>Ｐ</v>
      </c>
      <c r="I65" t="str">
        <f>"1042"</f>
        <v>1042</v>
      </c>
      <c r="J65" t="str">
        <f>"マレリ（株）"</f>
        <v>マレリ（株）</v>
      </c>
      <c r="K65" t="str">
        <f>"04"</f>
        <v>04</v>
      </c>
      <c r="L65" t="str">
        <f>"澁澤倉庫"</f>
        <v>澁澤倉庫</v>
      </c>
      <c r="M65" t="str">
        <f t="shared" si="62"/>
        <v>――</v>
      </c>
      <c r="N65" t="str">
        <f t="shared" si="62"/>
        <v>――</v>
      </c>
      <c r="O65" t="str">
        <f t="shared" si="5"/>
        <v>Ｍ</v>
      </c>
      <c r="P65" t="str">
        <f t="shared" si="6"/>
        <v>01</v>
      </c>
      <c r="Q65" t="str">
        <f t="shared" si="7"/>
        <v>第１</v>
      </c>
      <c r="R65" t="str">
        <f t="shared" si="8"/>
        <v>1Y</v>
      </c>
      <c r="S65" t="str">
        <f t="shared" si="9"/>
        <v>安城第１工場</v>
      </c>
      <c r="T65" t="str">
        <f t="shared" si="10"/>
        <v>直接</v>
      </c>
      <c r="U65" t="str">
        <f>""</f>
        <v/>
      </c>
      <c r="V65" t="str">
        <f>""</f>
        <v/>
      </c>
      <c r="W65" t="str">
        <f>""</f>
        <v/>
      </c>
      <c r="X65">
        <v>1</v>
      </c>
      <c r="Y65">
        <v>2</v>
      </c>
      <c r="Z65">
        <v>3.92</v>
      </c>
      <c r="AA65">
        <v>1.23</v>
      </c>
      <c r="AB65">
        <v>3</v>
      </c>
      <c r="AC65">
        <v>1.23</v>
      </c>
      <c r="AD65">
        <v>1.23</v>
      </c>
      <c r="AE65">
        <v>1.1000000000000001</v>
      </c>
      <c r="AF65">
        <v>0.5</v>
      </c>
      <c r="AG65" t="str">
        <f>"207"</f>
        <v>207</v>
      </c>
      <c r="AH65" t="str">
        <f>"マレリ（株）"</f>
        <v>マレリ（株）</v>
      </c>
      <c r="AI65" t="str">
        <f>"002"</f>
        <v>002</v>
      </c>
      <c r="AJ65" t="str">
        <f>"I1-8"</f>
        <v>I1-8</v>
      </c>
      <c r="AK65" t="str">
        <f>"30440"</f>
        <v>30440</v>
      </c>
      <c r="AL65" t="str">
        <f>"9000"</f>
        <v>9000</v>
      </c>
      <c r="AM65" t="str">
        <f>"ｵｲﾙｸｰﾗｰASSY"</f>
        <v>ｵｲﾙｸｰﾗｰASSY</v>
      </c>
      <c r="AN65" t="str">
        <f>"016"</f>
        <v>016</v>
      </c>
      <c r="AO65" t="str">
        <f>"TP-332 ﾊﾝﾖｳ"</f>
        <v>TP-332 ﾊﾝﾖｳ</v>
      </c>
      <c r="AP65">
        <v>4</v>
      </c>
      <c r="AQ65" t="str">
        <f>""</f>
        <v/>
      </c>
      <c r="AR65" t="str">
        <f>""</f>
        <v/>
      </c>
      <c r="AS65" t="str">
        <f>""</f>
        <v/>
      </c>
      <c r="AT65" t="str">
        <f t="shared" si="11"/>
        <v>00</v>
      </c>
      <c r="AU65">
        <v>0.5</v>
      </c>
      <c r="AV65" t="str">
        <f>""</f>
        <v/>
      </c>
      <c r="AW65" t="str">
        <f t="shared" si="64"/>
        <v>08</v>
      </c>
      <c r="AX65" t="str">
        <f t="shared" si="65"/>
        <v>専用</v>
      </c>
      <c r="AY65" t="str">
        <f t="shared" si="66"/>
        <v>01</v>
      </c>
      <c r="AZ65" t="str">
        <f t="shared" si="67"/>
        <v>後補充</v>
      </c>
      <c r="BA65" t="str">
        <f>""</f>
        <v/>
      </c>
      <c r="BB65" t="str">
        <f>"ＴＰ３３１．５フタアリ"</f>
        <v>ＴＰ３３１．５フタアリ</v>
      </c>
      <c r="BC65" t="str">
        <f t="shared" si="63"/>
        <v xml:space="preserve"> 335.000</v>
      </c>
      <c r="BD65" t="str">
        <f t="shared" si="63"/>
        <v xml:space="preserve"> 335.000</v>
      </c>
      <c r="BE65" t="str">
        <f>" 165.000"</f>
        <v xml:space="preserve"> 165.000</v>
      </c>
      <c r="BF65" t="str">
        <f>"   0.019"</f>
        <v xml:space="preserve">   0.019</v>
      </c>
      <c r="BG65" t="str">
        <f>"   0.019"</f>
        <v xml:space="preserve">   0.019</v>
      </c>
      <c r="BH65" t="str">
        <f t="shared" si="12"/>
        <v>しない</v>
      </c>
      <c r="BI65" t="str">
        <f>""</f>
        <v/>
      </c>
      <c r="BJ65" t="str">
        <f t="shared" si="13"/>
        <v>MASTER01</v>
      </c>
      <c r="BK65" t="str">
        <f t="shared" si="68"/>
        <v>2022/04/19</v>
      </c>
      <c r="BL65" t="str">
        <f t="shared" si="14"/>
        <v>NE00</v>
      </c>
      <c r="BM65" t="str">
        <f t="shared" si="15"/>
        <v>１工工務Ｇ</v>
      </c>
      <c r="BN65" t="str">
        <f t="shared" si="28"/>
        <v>46548</v>
      </c>
      <c r="BO65" t="str">
        <f t="shared" si="29"/>
        <v>長畑　玲奈</v>
      </c>
    </row>
    <row r="66" spans="1:67">
      <c r="A66" t="s">
        <v>165</v>
      </c>
      <c r="B66" t="str">
        <f>""</f>
        <v/>
      </c>
      <c r="C66" t="str">
        <f>""</f>
        <v/>
      </c>
      <c r="D66" t="s">
        <v>36</v>
      </c>
      <c r="E66" t="str">
        <f t="shared" ref="E66:E129" si="69">"1Y"</f>
        <v>1Y</v>
      </c>
      <c r="F66" t="str">
        <f t="shared" ref="F66:F129" si="70">"第１工場"</f>
        <v>第１工場</v>
      </c>
      <c r="G66" t="str">
        <f t="shared" ref="G66:G129" si="71">"手配"</f>
        <v>手配</v>
      </c>
      <c r="H66" t="str">
        <f t="shared" ref="H66:H129" si="72">"Ｐ"</f>
        <v>Ｐ</v>
      </c>
      <c r="I66" t="str">
        <f t="shared" ref="I66:I80" si="73">"1814"</f>
        <v>1814</v>
      </c>
      <c r="J66" t="str">
        <f t="shared" ref="J66:J80" si="74">"（株）ジェイテクト"</f>
        <v>（株）ジェイテクト</v>
      </c>
      <c r="K66" t="str">
        <f t="shared" ref="K66:K80" si="75">"02"</f>
        <v>02</v>
      </c>
      <c r="L66" t="str">
        <f t="shared" ref="L66:L80" si="76">"香川工場"</f>
        <v>香川工場</v>
      </c>
      <c r="M66" t="str">
        <f t="shared" si="62"/>
        <v>――</v>
      </c>
      <c r="N66" t="str">
        <f t="shared" si="62"/>
        <v>――</v>
      </c>
      <c r="O66" t="str">
        <f t="shared" ref="O66:O129" si="77">"Ｍ"</f>
        <v>Ｍ</v>
      </c>
      <c r="P66" t="str">
        <f t="shared" ref="P66:P129" si="78">"01"</f>
        <v>01</v>
      </c>
      <c r="Q66" t="str">
        <f t="shared" ref="Q66:Q129" si="79">"第１"</f>
        <v>第１</v>
      </c>
      <c r="R66" t="str">
        <f t="shared" ref="R66:R129" si="80">"1Y"</f>
        <v>1Y</v>
      </c>
      <c r="S66" t="str">
        <f t="shared" ref="S66:S129" si="81">"安城第１工場"</f>
        <v>安城第１工場</v>
      </c>
      <c r="T66" t="str">
        <f t="shared" ref="T66:T129" si="82">"直接"</f>
        <v>直接</v>
      </c>
      <c r="U66" t="str">
        <f>""</f>
        <v/>
      </c>
      <c r="V66" t="str">
        <f>""</f>
        <v/>
      </c>
      <c r="W66" t="str">
        <f>""</f>
        <v/>
      </c>
      <c r="X66">
        <v>1</v>
      </c>
      <c r="Y66">
        <v>1</v>
      </c>
      <c r="Z66">
        <v>1.9</v>
      </c>
      <c r="AA66">
        <v>1.02</v>
      </c>
      <c r="AB66">
        <v>3</v>
      </c>
      <c r="AC66">
        <v>1.02</v>
      </c>
      <c r="AD66">
        <v>1.02</v>
      </c>
      <c r="AE66">
        <v>1.1000000000000001</v>
      </c>
      <c r="AF66">
        <v>0.5</v>
      </c>
      <c r="AG66" t="str">
        <f t="shared" ref="AG66:AG80" si="83">"021"</f>
        <v>021</v>
      </c>
      <c r="AH66" t="str">
        <f t="shared" ref="AH66:AH80" si="84">"㈱ジェイテクト"</f>
        <v>㈱ジェイテクト</v>
      </c>
      <c r="AI66" t="str">
        <f>"001"</f>
        <v>001</v>
      </c>
      <c r="AJ66" t="str">
        <f>"S-G-12"</f>
        <v>S-G-12</v>
      </c>
      <c r="AK66" t="str">
        <f>"40128"</f>
        <v>40128</v>
      </c>
      <c r="AL66" t="str">
        <f>"9152"</f>
        <v>9152</v>
      </c>
      <c r="AM66" t="str">
        <f>"ﾚｰｽﾃｰﾊﾟｰﾄﾞﾛｰﾗｰﾍﾞｱﾘﾝｸﾞｲﾝﾅｰ"</f>
        <v>ﾚｰｽﾃｰﾊﾟｰﾄﾞﾛｰﾗｰﾍﾞｱﾘﾝｸﾞｲﾝﾅｰ</v>
      </c>
      <c r="AN66" t="str">
        <f t="shared" ref="AN66:AN80" si="85">"067"</f>
        <v>067</v>
      </c>
      <c r="AO66" t="str">
        <f t="shared" ref="AO66:AO80" si="86">"PT- 9 ｾﾝﾖｳ"</f>
        <v>PT- 9 ｾﾝﾖｳ</v>
      </c>
      <c r="AP66">
        <v>60</v>
      </c>
      <c r="AQ66" t="str">
        <f>""</f>
        <v/>
      </c>
      <c r="AR66" t="str">
        <f>""</f>
        <v/>
      </c>
      <c r="AS66" t="str">
        <f>""</f>
        <v/>
      </c>
      <c r="AT66" t="str">
        <f t="shared" ref="AT66:AT129" si="87">"00"</f>
        <v>00</v>
      </c>
      <c r="AU66">
        <v>0.5</v>
      </c>
      <c r="AV66" t="str">
        <f>""</f>
        <v/>
      </c>
      <c r="AW66" t="str">
        <f t="shared" si="64"/>
        <v>08</v>
      </c>
      <c r="AX66" t="str">
        <f t="shared" si="65"/>
        <v>専用</v>
      </c>
      <c r="AY66" t="str">
        <f t="shared" si="66"/>
        <v>01</v>
      </c>
      <c r="AZ66" t="str">
        <f t="shared" si="67"/>
        <v>後補充</v>
      </c>
      <c r="BA66" t="str">
        <f>""</f>
        <v/>
      </c>
      <c r="BB66" t="str">
        <f t="shared" ref="BB66:BB80" si="88">"サンボックス＃９Ｆフタナシ"</f>
        <v>サンボックス＃９Ｆフタナシ</v>
      </c>
      <c r="BC66" t="str">
        <f t="shared" ref="BC66:BC80" si="89">" 370.000"</f>
        <v xml:space="preserve"> 370.000</v>
      </c>
      <c r="BD66" t="str">
        <f t="shared" ref="BD66:BD80" si="90">" 280.000"</f>
        <v xml:space="preserve"> 280.000</v>
      </c>
      <c r="BE66" t="str">
        <f t="shared" ref="BE66:BE80" si="91">" 123.000"</f>
        <v xml:space="preserve"> 123.000</v>
      </c>
      <c r="BF66" t="str">
        <f t="shared" ref="BF66:BF80" si="92">"   0.013"</f>
        <v xml:space="preserve">   0.013</v>
      </c>
      <c r="BG66" t="str">
        <f>"  11.260"</f>
        <v xml:space="preserve">  11.260</v>
      </c>
      <c r="BH66" t="str">
        <f t="shared" ref="BH66:BH129" si="93">"しない"</f>
        <v>しない</v>
      </c>
      <c r="BI66" t="str">
        <f>""</f>
        <v/>
      </c>
      <c r="BJ66" t="str">
        <f t="shared" ref="BJ66:BJ129" si="94">"MASTER01"</f>
        <v>MASTER01</v>
      </c>
      <c r="BK66" t="str">
        <f t="shared" si="68"/>
        <v>2022/04/19</v>
      </c>
      <c r="BL66" t="str">
        <f t="shared" ref="BL66:BL129" si="95">"NE00"</f>
        <v>NE00</v>
      </c>
      <c r="BM66" t="str">
        <f t="shared" ref="BM66:BM129" si="96">"１工工務Ｇ"</f>
        <v>１工工務Ｇ</v>
      </c>
      <c r="BN66" t="str">
        <f t="shared" si="28"/>
        <v>46548</v>
      </c>
      <c r="BO66" t="str">
        <f t="shared" si="29"/>
        <v>長畑　玲奈</v>
      </c>
    </row>
    <row r="67" spans="1:67">
      <c r="A67" t="s">
        <v>166</v>
      </c>
      <c r="B67" t="str">
        <f>""</f>
        <v/>
      </c>
      <c r="C67" t="str">
        <f>""</f>
        <v/>
      </c>
      <c r="D67" t="s">
        <v>37</v>
      </c>
      <c r="E67" t="str">
        <f t="shared" si="69"/>
        <v>1Y</v>
      </c>
      <c r="F67" t="str">
        <f t="shared" si="70"/>
        <v>第１工場</v>
      </c>
      <c r="G67" t="str">
        <f t="shared" si="71"/>
        <v>手配</v>
      </c>
      <c r="H67" t="str">
        <f t="shared" si="72"/>
        <v>Ｐ</v>
      </c>
      <c r="I67" t="str">
        <f t="shared" si="73"/>
        <v>1814</v>
      </c>
      <c r="J67" t="str">
        <f t="shared" si="74"/>
        <v>（株）ジェイテクト</v>
      </c>
      <c r="K67" t="str">
        <f t="shared" si="75"/>
        <v>02</v>
      </c>
      <c r="L67" t="str">
        <f t="shared" si="76"/>
        <v>香川工場</v>
      </c>
      <c r="M67" t="str">
        <f t="shared" si="62"/>
        <v>――</v>
      </c>
      <c r="N67" t="str">
        <f t="shared" si="62"/>
        <v>――</v>
      </c>
      <c r="O67" t="str">
        <f t="shared" si="77"/>
        <v>Ｍ</v>
      </c>
      <c r="P67" t="str">
        <f t="shared" si="78"/>
        <v>01</v>
      </c>
      <c r="Q67" t="str">
        <f t="shared" si="79"/>
        <v>第１</v>
      </c>
      <c r="R67" t="str">
        <f t="shared" si="80"/>
        <v>1Y</v>
      </c>
      <c r="S67" t="str">
        <f t="shared" si="81"/>
        <v>安城第１工場</v>
      </c>
      <c r="T67" t="str">
        <f t="shared" si="82"/>
        <v>直接</v>
      </c>
      <c r="U67" t="str">
        <f>""</f>
        <v/>
      </c>
      <c r="V67" t="str">
        <f>""</f>
        <v/>
      </c>
      <c r="W67" t="str">
        <f>""</f>
        <v/>
      </c>
      <c r="X67">
        <v>1</v>
      </c>
      <c r="Y67">
        <v>1</v>
      </c>
      <c r="Z67">
        <v>1.9</v>
      </c>
      <c r="AA67">
        <v>1.02</v>
      </c>
      <c r="AB67">
        <v>3</v>
      </c>
      <c r="AC67">
        <v>1.02</v>
      </c>
      <c r="AD67">
        <v>1.02</v>
      </c>
      <c r="AE67">
        <v>1.1000000000000001</v>
      </c>
      <c r="AF67">
        <v>0.5</v>
      </c>
      <c r="AG67" t="str">
        <f t="shared" si="83"/>
        <v>021</v>
      </c>
      <c r="AH67" t="str">
        <f t="shared" si="84"/>
        <v>㈱ジェイテクト</v>
      </c>
      <c r="AI67" t="str">
        <f>"002"</f>
        <v>002</v>
      </c>
      <c r="AJ67" t="str">
        <f>"S-G-13"</f>
        <v>S-G-13</v>
      </c>
      <c r="AK67" t="str">
        <f>"40130"</f>
        <v>40130</v>
      </c>
      <c r="AL67" t="str">
        <f>"9153"</f>
        <v>9153</v>
      </c>
      <c r="AM67" t="str">
        <f>"ﾚｰｽﾃｰﾊﾟｰﾄﾞﾛｰﾗｰﾍﾞｱﾘﾝｸﾞｱｳﾀｰ"</f>
        <v>ﾚｰｽﾃｰﾊﾟｰﾄﾞﾛｰﾗｰﾍﾞｱﾘﾝｸﾞｱｳﾀｰ</v>
      </c>
      <c r="AN67" t="str">
        <f t="shared" si="85"/>
        <v>067</v>
      </c>
      <c r="AO67" t="str">
        <f t="shared" si="86"/>
        <v>PT- 9 ｾﾝﾖｳ</v>
      </c>
      <c r="AP67">
        <v>80</v>
      </c>
      <c r="AQ67" t="str">
        <f>""</f>
        <v/>
      </c>
      <c r="AR67" t="str">
        <f>""</f>
        <v/>
      </c>
      <c r="AS67" t="str">
        <f>""</f>
        <v/>
      </c>
      <c r="AT67" t="str">
        <f t="shared" si="87"/>
        <v>00</v>
      </c>
      <c r="AU67">
        <v>0.5</v>
      </c>
      <c r="AV67" t="str">
        <f>""</f>
        <v/>
      </c>
      <c r="AW67" t="str">
        <f t="shared" si="64"/>
        <v>08</v>
      </c>
      <c r="AX67" t="str">
        <f t="shared" si="65"/>
        <v>専用</v>
      </c>
      <c r="AY67" t="str">
        <f t="shared" si="66"/>
        <v>01</v>
      </c>
      <c r="AZ67" t="str">
        <f t="shared" si="67"/>
        <v>後補充</v>
      </c>
      <c r="BA67" t="str">
        <f>""</f>
        <v/>
      </c>
      <c r="BB67" t="str">
        <f t="shared" si="88"/>
        <v>サンボックス＃９Ｆフタナシ</v>
      </c>
      <c r="BC67" t="str">
        <f t="shared" si="89"/>
        <v xml:space="preserve"> 370.000</v>
      </c>
      <c r="BD67" t="str">
        <f t="shared" si="90"/>
        <v xml:space="preserve"> 280.000</v>
      </c>
      <c r="BE67" t="str">
        <f t="shared" si="91"/>
        <v xml:space="preserve"> 123.000</v>
      </c>
      <c r="BF67" t="str">
        <f t="shared" si="92"/>
        <v xml:space="preserve">   0.013</v>
      </c>
      <c r="BG67" t="str">
        <f>"  10.940"</f>
        <v xml:space="preserve">  10.940</v>
      </c>
      <c r="BH67" t="str">
        <f t="shared" si="93"/>
        <v>しない</v>
      </c>
      <c r="BI67" t="str">
        <f>""</f>
        <v/>
      </c>
      <c r="BJ67" t="str">
        <f t="shared" si="94"/>
        <v>MASTER01</v>
      </c>
      <c r="BK67" t="str">
        <f t="shared" si="68"/>
        <v>2022/04/19</v>
      </c>
      <c r="BL67" t="str">
        <f t="shared" si="95"/>
        <v>NE00</v>
      </c>
      <c r="BM67" t="str">
        <f t="shared" si="96"/>
        <v>１工工務Ｇ</v>
      </c>
      <c r="BN67" t="str">
        <f t="shared" si="28"/>
        <v>46548</v>
      </c>
      <c r="BO67" t="str">
        <f t="shared" si="29"/>
        <v>長畑　玲奈</v>
      </c>
    </row>
    <row r="68" spans="1:67">
      <c r="A68" t="s">
        <v>167</v>
      </c>
      <c r="B68" t="str">
        <f>""</f>
        <v/>
      </c>
      <c r="C68" t="str">
        <f>""</f>
        <v/>
      </c>
      <c r="D68" t="s">
        <v>36</v>
      </c>
      <c r="E68" t="str">
        <f t="shared" si="69"/>
        <v>1Y</v>
      </c>
      <c r="F68" t="str">
        <f t="shared" si="70"/>
        <v>第１工場</v>
      </c>
      <c r="G68" t="str">
        <f t="shared" si="71"/>
        <v>手配</v>
      </c>
      <c r="H68" t="str">
        <f t="shared" si="72"/>
        <v>Ｐ</v>
      </c>
      <c r="I68" t="str">
        <f t="shared" si="73"/>
        <v>1814</v>
      </c>
      <c r="J68" t="str">
        <f t="shared" si="74"/>
        <v>（株）ジェイテクト</v>
      </c>
      <c r="K68" t="str">
        <f t="shared" si="75"/>
        <v>02</v>
      </c>
      <c r="L68" t="str">
        <f t="shared" si="76"/>
        <v>香川工場</v>
      </c>
      <c r="M68" t="str">
        <f t="shared" si="62"/>
        <v>――</v>
      </c>
      <c r="N68" t="str">
        <f t="shared" si="62"/>
        <v>――</v>
      </c>
      <c r="O68" t="str">
        <f t="shared" si="77"/>
        <v>Ｍ</v>
      </c>
      <c r="P68" t="str">
        <f t="shared" si="78"/>
        <v>01</v>
      </c>
      <c r="Q68" t="str">
        <f t="shared" si="79"/>
        <v>第１</v>
      </c>
      <c r="R68" t="str">
        <f t="shared" si="80"/>
        <v>1Y</v>
      </c>
      <c r="S68" t="str">
        <f t="shared" si="81"/>
        <v>安城第１工場</v>
      </c>
      <c r="T68" t="str">
        <f t="shared" si="82"/>
        <v>直接</v>
      </c>
      <c r="U68" t="str">
        <f>""</f>
        <v/>
      </c>
      <c r="V68" t="str">
        <f>""</f>
        <v/>
      </c>
      <c r="W68" t="str">
        <f>""</f>
        <v/>
      </c>
      <c r="X68">
        <v>1</v>
      </c>
      <c r="Y68">
        <v>1</v>
      </c>
      <c r="Z68">
        <v>1.9</v>
      </c>
      <c r="AA68">
        <v>1.02</v>
      </c>
      <c r="AB68">
        <v>3</v>
      </c>
      <c r="AC68">
        <v>1.02</v>
      </c>
      <c r="AD68">
        <v>1.02</v>
      </c>
      <c r="AE68">
        <v>1.1000000000000001</v>
      </c>
      <c r="AF68">
        <v>0.5</v>
      </c>
      <c r="AG68" t="str">
        <f t="shared" si="83"/>
        <v>021</v>
      </c>
      <c r="AH68" t="str">
        <f t="shared" si="84"/>
        <v>㈱ジェイテクト</v>
      </c>
      <c r="AI68" t="str">
        <f>"009"</f>
        <v>009</v>
      </c>
      <c r="AJ68" t="str">
        <f>"S-G-7"</f>
        <v>S-G-7</v>
      </c>
      <c r="AK68" t="str">
        <f>"40134"</f>
        <v>40134</v>
      </c>
      <c r="AL68" t="str">
        <f>"9152"</f>
        <v>9152</v>
      </c>
      <c r="AM68" t="str">
        <f>"ﾚｰｽﾃｰﾊﾟｰﾄﾞﾛｰﾗｰﾍﾞｱﾘﾝｸﾞｲﾝﾅｰ"</f>
        <v>ﾚｰｽﾃｰﾊﾟｰﾄﾞﾛｰﾗｰﾍﾞｱﾘﾝｸﾞｲﾝﾅｰ</v>
      </c>
      <c r="AN68" t="str">
        <f t="shared" si="85"/>
        <v>067</v>
      </c>
      <c r="AO68" t="str">
        <f t="shared" si="86"/>
        <v>PT- 9 ｾﾝﾖｳ</v>
      </c>
      <c r="AP68">
        <v>72</v>
      </c>
      <c r="AQ68" t="str">
        <f>""</f>
        <v/>
      </c>
      <c r="AR68" t="str">
        <f>""</f>
        <v/>
      </c>
      <c r="AS68" t="str">
        <f>""</f>
        <v/>
      </c>
      <c r="AT68" t="str">
        <f t="shared" si="87"/>
        <v>00</v>
      </c>
      <c r="AU68">
        <v>0.5</v>
      </c>
      <c r="AV68" t="str">
        <f>""</f>
        <v/>
      </c>
      <c r="AW68" t="str">
        <f t="shared" si="64"/>
        <v>08</v>
      </c>
      <c r="AX68" t="str">
        <f t="shared" si="65"/>
        <v>専用</v>
      </c>
      <c r="AY68" t="str">
        <f t="shared" si="66"/>
        <v>01</v>
      </c>
      <c r="AZ68" t="str">
        <f t="shared" si="67"/>
        <v>後補充</v>
      </c>
      <c r="BA68" t="str">
        <f>""</f>
        <v/>
      </c>
      <c r="BB68" t="str">
        <f t="shared" si="88"/>
        <v>サンボックス＃９Ｆフタナシ</v>
      </c>
      <c r="BC68" t="str">
        <f t="shared" si="89"/>
        <v xml:space="preserve"> 370.000</v>
      </c>
      <c r="BD68" t="str">
        <f t="shared" si="90"/>
        <v xml:space="preserve"> 280.000</v>
      </c>
      <c r="BE68" t="str">
        <f t="shared" si="91"/>
        <v xml:space="preserve"> 123.000</v>
      </c>
      <c r="BF68" t="str">
        <f t="shared" si="92"/>
        <v xml:space="preserve">   0.013</v>
      </c>
      <c r="BG68" t="str">
        <f>"  11.644"</f>
        <v xml:space="preserve">  11.644</v>
      </c>
      <c r="BH68" t="str">
        <f t="shared" si="93"/>
        <v>しない</v>
      </c>
      <c r="BI68" t="str">
        <f>""</f>
        <v/>
      </c>
      <c r="BJ68" t="str">
        <f t="shared" si="94"/>
        <v>MASTER01</v>
      </c>
      <c r="BK68" t="str">
        <f t="shared" si="68"/>
        <v>2022/04/19</v>
      </c>
      <c r="BL68" t="str">
        <f t="shared" si="95"/>
        <v>NE00</v>
      </c>
      <c r="BM68" t="str">
        <f t="shared" si="96"/>
        <v>１工工務Ｇ</v>
      </c>
      <c r="BN68" t="str">
        <f t="shared" si="28"/>
        <v>46548</v>
      </c>
      <c r="BO68" t="str">
        <f t="shared" si="29"/>
        <v>長畑　玲奈</v>
      </c>
    </row>
    <row r="69" spans="1:67">
      <c r="A69" t="s">
        <v>168</v>
      </c>
      <c r="B69" t="str">
        <f>""</f>
        <v/>
      </c>
      <c r="C69" t="str">
        <f>""</f>
        <v/>
      </c>
      <c r="D69" t="s">
        <v>37</v>
      </c>
      <c r="E69" t="str">
        <f t="shared" si="69"/>
        <v>1Y</v>
      </c>
      <c r="F69" t="str">
        <f t="shared" si="70"/>
        <v>第１工場</v>
      </c>
      <c r="G69" t="str">
        <f t="shared" si="71"/>
        <v>手配</v>
      </c>
      <c r="H69" t="str">
        <f t="shared" si="72"/>
        <v>Ｐ</v>
      </c>
      <c r="I69" t="str">
        <f t="shared" si="73"/>
        <v>1814</v>
      </c>
      <c r="J69" t="str">
        <f t="shared" si="74"/>
        <v>（株）ジェイテクト</v>
      </c>
      <c r="K69" t="str">
        <f t="shared" si="75"/>
        <v>02</v>
      </c>
      <c r="L69" t="str">
        <f t="shared" si="76"/>
        <v>香川工場</v>
      </c>
      <c r="M69" t="str">
        <f t="shared" si="62"/>
        <v>――</v>
      </c>
      <c r="N69" t="str">
        <f t="shared" si="62"/>
        <v>――</v>
      </c>
      <c r="O69" t="str">
        <f t="shared" si="77"/>
        <v>Ｍ</v>
      </c>
      <c r="P69" t="str">
        <f t="shared" si="78"/>
        <v>01</v>
      </c>
      <c r="Q69" t="str">
        <f t="shared" si="79"/>
        <v>第１</v>
      </c>
      <c r="R69" t="str">
        <f t="shared" si="80"/>
        <v>1Y</v>
      </c>
      <c r="S69" t="str">
        <f t="shared" si="81"/>
        <v>安城第１工場</v>
      </c>
      <c r="T69" t="str">
        <f t="shared" si="82"/>
        <v>直接</v>
      </c>
      <c r="U69" t="str">
        <f>""</f>
        <v/>
      </c>
      <c r="V69" t="str">
        <f>""</f>
        <v/>
      </c>
      <c r="W69" t="str">
        <f>""</f>
        <v/>
      </c>
      <c r="X69">
        <v>1</v>
      </c>
      <c r="Y69">
        <v>1</v>
      </c>
      <c r="Z69">
        <v>1.9</v>
      </c>
      <c r="AA69">
        <v>1.02</v>
      </c>
      <c r="AB69">
        <v>3</v>
      </c>
      <c r="AC69">
        <v>1.02</v>
      </c>
      <c r="AD69">
        <v>1.02</v>
      </c>
      <c r="AE69">
        <v>1.1000000000000001</v>
      </c>
      <c r="AF69">
        <v>0.5</v>
      </c>
      <c r="AG69" t="str">
        <f t="shared" si="83"/>
        <v>021</v>
      </c>
      <c r="AH69" t="str">
        <f t="shared" si="84"/>
        <v>㈱ジェイテクト</v>
      </c>
      <c r="AI69" t="str">
        <f>"010"</f>
        <v>010</v>
      </c>
      <c r="AJ69" t="str">
        <f>"S-G-8"</f>
        <v>S-G-8</v>
      </c>
      <c r="AK69" t="str">
        <f>"40132"</f>
        <v>40132</v>
      </c>
      <c r="AL69" t="str">
        <f>"9153"</f>
        <v>9153</v>
      </c>
      <c r="AM69" t="str">
        <f>"ﾚｰｽﾃｰﾊﾟｰﾄﾞﾛｰﾗｰﾍﾞｱﾘﾝｸﾞｱｳﾀｰ"</f>
        <v>ﾚｰｽﾃｰﾊﾟｰﾄﾞﾛｰﾗｰﾍﾞｱﾘﾝｸﾞｱｳﾀｰ</v>
      </c>
      <c r="AN69" t="str">
        <f t="shared" si="85"/>
        <v>067</v>
      </c>
      <c r="AO69" t="str">
        <f t="shared" si="86"/>
        <v>PT- 9 ｾﾝﾖｳ</v>
      </c>
      <c r="AP69">
        <v>100</v>
      </c>
      <c r="AQ69" t="str">
        <f>""</f>
        <v/>
      </c>
      <c r="AR69" t="str">
        <f>""</f>
        <v/>
      </c>
      <c r="AS69" t="str">
        <f>""</f>
        <v/>
      </c>
      <c r="AT69" t="str">
        <f t="shared" si="87"/>
        <v>00</v>
      </c>
      <c r="AU69">
        <v>0.5</v>
      </c>
      <c r="AV69" t="str">
        <f>""</f>
        <v/>
      </c>
      <c r="AW69" t="str">
        <f t="shared" si="64"/>
        <v>08</v>
      </c>
      <c r="AX69" t="str">
        <f t="shared" si="65"/>
        <v>専用</v>
      </c>
      <c r="AY69" t="str">
        <f t="shared" si="66"/>
        <v>01</v>
      </c>
      <c r="AZ69" t="str">
        <f t="shared" si="67"/>
        <v>後補充</v>
      </c>
      <c r="BA69" t="str">
        <f>""</f>
        <v/>
      </c>
      <c r="BB69" t="str">
        <f t="shared" si="88"/>
        <v>サンボックス＃９Ｆフタナシ</v>
      </c>
      <c r="BC69" t="str">
        <f t="shared" si="89"/>
        <v xml:space="preserve"> 370.000</v>
      </c>
      <c r="BD69" t="str">
        <f t="shared" si="90"/>
        <v xml:space="preserve"> 280.000</v>
      </c>
      <c r="BE69" t="str">
        <f t="shared" si="91"/>
        <v xml:space="preserve"> 123.000</v>
      </c>
      <c r="BF69" t="str">
        <f t="shared" si="92"/>
        <v xml:space="preserve">   0.013</v>
      </c>
      <c r="BG69" t="str">
        <f>"  10.100"</f>
        <v xml:space="preserve">  10.100</v>
      </c>
      <c r="BH69" t="str">
        <f t="shared" si="93"/>
        <v>しない</v>
      </c>
      <c r="BI69" t="str">
        <f>""</f>
        <v/>
      </c>
      <c r="BJ69" t="str">
        <f t="shared" si="94"/>
        <v>MASTER01</v>
      </c>
      <c r="BK69" t="str">
        <f t="shared" si="68"/>
        <v>2022/04/19</v>
      </c>
      <c r="BL69" t="str">
        <f t="shared" si="95"/>
        <v>NE00</v>
      </c>
      <c r="BM69" t="str">
        <f t="shared" si="96"/>
        <v>１工工務Ｇ</v>
      </c>
      <c r="BN69" t="str">
        <f t="shared" si="28"/>
        <v>46548</v>
      </c>
      <c r="BO69" t="str">
        <f t="shared" si="29"/>
        <v>長畑　玲奈</v>
      </c>
    </row>
    <row r="70" spans="1:67">
      <c r="A70" t="s">
        <v>169</v>
      </c>
      <c r="B70" t="str">
        <f>""</f>
        <v/>
      </c>
      <c r="C70" t="str">
        <f>""</f>
        <v/>
      </c>
      <c r="D70" t="s">
        <v>36</v>
      </c>
      <c r="E70" t="str">
        <f t="shared" si="69"/>
        <v>1Y</v>
      </c>
      <c r="F70" t="str">
        <f t="shared" si="70"/>
        <v>第１工場</v>
      </c>
      <c r="G70" t="str">
        <f t="shared" si="71"/>
        <v>手配</v>
      </c>
      <c r="H70" t="str">
        <f t="shared" si="72"/>
        <v>Ｐ</v>
      </c>
      <c r="I70" t="str">
        <f t="shared" si="73"/>
        <v>1814</v>
      </c>
      <c r="J70" t="str">
        <f t="shared" si="74"/>
        <v>（株）ジェイテクト</v>
      </c>
      <c r="K70" t="str">
        <f t="shared" si="75"/>
        <v>02</v>
      </c>
      <c r="L70" t="str">
        <f t="shared" si="76"/>
        <v>香川工場</v>
      </c>
      <c r="M70" t="str">
        <f t="shared" si="62"/>
        <v>――</v>
      </c>
      <c r="N70" t="str">
        <f t="shared" si="62"/>
        <v>――</v>
      </c>
      <c r="O70" t="str">
        <f t="shared" si="77"/>
        <v>Ｍ</v>
      </c>
      <c r="P70" t="str">
        <f t="shared" si="78"/>
        <v>01</v>
      </c>
      <c r="Q70" t="str">
        <f t="shared" si="79"/>
        <v>第１</v>
      </c>
      <c r="R70" t="str">
        <f t="shared" si="80"/>
        <v>1Y</v>
      </c>
      <c r="S70" t="str">
        <f t="shared" si="81"/>
        <v>安城第１工場</v>
      </c>
      <c r="T70" t="str">
        <f t="shared" si="82"/>
        <v>直接</v>
      </c>
      <c r="U70" t="str">
        <f>""</f>
        <v/>
      </c>
      <c r="V70" t="str">
        <f>""</f>
        <v/>
      </c>
      <c r="W70" t="str">
        <f>""</f>
        <v/>
      </c>
      <c r="X70">
        <v>1</v>
      </c>
      <c r="Y70">
        <v>1</v>
      </c>
      <c r="Z70">
        <v>1.9</v>
      </c>
      <c r="AA70">
        <v>1.02</v>
      </c>
      <c r="AB70">
        <v>3</v>
      </c>
      <c r="AC70">
        <v>1.02</v>
      </c>
      <c r="AD70">
        <v>1.02</v>
      </c>
      <c r="AE70">
        <v>1.1000000000000001</v>
      </c>
      <c r="AF70">
        <v>0.5</v>
      </c>
      <c r="AG70" t="str">
        <f t="shared" si="83"/>
        <v>021</v>
      </c>
      <c r="AH70" t="str">
        <f t="shared" si="84"/>
        <v>㈱ジェイテクト</v>
      </c>
      <c r="AI70" t="str">
        <f>"003"</f>
        <v>003</v>
      </c>
      <c r="AJ70" t="str">
        <f>"S-G-17"</f>
        <v>S-G-17</v>
      </c>
      <c r="AK70" t="str">
        <f>"40138"</f>
        <v>40138</v>
      </c>
      <c r="AL70" t="str">
        <f>"9152"</f>
        <v>9152</v>
      </c>
      <c r="AM70" t="str">
        <f>"ﾚｰｽﾃｰﾊﾟｰﾄﾞﾛｰﾗｰﾍﾞｱﾘﾝｸﾞｲﾝﾅｰ"</f>
        <v>ﾚｰｽﾃｰﾊﾟｰﾄﾞﾛｰﾗｰﾍﾞｱﾘﾝｸﾞｲﾝﾅｰ</v>
      </c>
      <c r="AN70" t="str">
        <f t="shared" si="85"/>
        <v>067</v>
      </c>
      <c r="AO70" t="str">
        <f t="shared" si="86"/>
        <v>PT- 9 ｾﾝﾖｳ</v>
      </c>
      <c r="AP70">
        <v>38</v>
      </c>
      <c r="AQ70" t="str">
        <f>""</f>
        <v/>
      </c>
      <c r="AR70" t="str">
        <f>""</f>
        <v/>
      </c>
      <c r="AS70" t="str">
        <f>""</f>
        <v/>
      </c>
      <c r="AT70" t="str">
        <f t="shared" si="87"/>
        <v>00</v>
      </c>
      <c r="AU70">
        <v>0.5</v>
      </c>
      <c r="AV70" t="str">
        <f>""</f>
        <v/>
      </c>
      <c r="AW70" t="str">
        <f t="shared" si="64"/>
        <v>08</v>
      </c>
      <c r="AX70" t="str">
        <f t="shared" si="65"/>
        <v>専用</v>
      </c>
      <c r="AY70" t="str">
        <f t="shared" si="66"/>
        <v>01</v>
      </c>
      <c r="AZ70" t="str">
        <f t="shared" si="67"/>
        <v>後補充</v>
      </c>
      <c r="BA70" t="str">
        <f>""</f>
        <v/>
      </c>
      <c r="BB70" t="str">
        <f t="shared" si="88"/>
        <v>サンボックス＃９Ｆフタナシ</v>
      </c>
      <c r="BC70" t="str">
        <f t="shared" si="89"/>
        <v xml:space="preserve"> 370.000</v>
      </c>
      <c r="BD70" t="str">
        <f t="shared" si="90"/>
        <v xml:space="preserve"> 280.000</v>
      </c>
      <c r="BE70" t="str">
        <f t="shared" si="91"/>
        <v xml:space="preserve"> 123.000</v>
      </c>
      <c r="BF70" t="str">
        <f t="shared" si="92"/>
        <v xml:space="preserve">   0.013</v>
      </c>
      <c r="BG70" t="str">
        <f>"   9.516"</f>
        <v xml:space="preserve">   9.516</v>
      </c>
      <c r="BH70" t="str">
        <f t="shared" si="93"/>
        <v>しない</v>
      </c>
      <c r="BI70" t="str">
        <f>""</f>
        <v/>
      </c>
      <c r="BJ70" t="str">
        <f t="shared" si="94"/>
        <v>MASTER01</v>
      </c>
      <c r="BK70" t="str">
        <f t="shared" si="68"/>
        <v>2022/04/19</v>
      </c>
      <c r="BL70" t="str">
        <f t="shared" si="95"/>
        <v>NE00</v>
      </c>
      <c r="BM70" t="str">
        <f t="shared" si="96"/>
        <v>１工工務Ｇ</v>
      </c>
      <c r="BN70" t="str">
        <f t="shared" ref="BN70:BN110" si="97">"46548"</f>
        <v>46548</v>
      </c>
      <c r="BO70" t="str">
        <f t="shared" ref="BO70:BO110" si="98">"長畑　玲奈"</f>
        <v>長畑　玲奈</v>
      </c>
    </row>
    <row r="71" spans="1:67">
      <c r="A71" t="s">
        <v>170</v>
      </c>
      <c r="B71" t="str">
        <f>""</f>
        <v/>
      </c>
      <c r="C71" t="str">
        <f>""</f>
        <v/>
      </c>
      <c r="D71" t="s">
        <v>37</v>
      </c>
      <c r="E71" t="str">
        <f t="shared" si="69"/>
        <v>1Y</v>
      </c>
      <c r="F71" t="str">
        <f t="shared" si="70"/>
        <v>第１工場</v>
      </c>
      <c r="G71" t="str">
        <f t="shared" si="71"/>
        <v>手配</v>
      </c>
      <c r="H71" t="str">
        <f t="shared" si="72"/>
        <v>Ｐ</v>
      </c>
      <c r="I71" t="str">
        <f t="shared" si="73"/>
        <v>1814</v>
      </c>
      <c r="J71" t="str">
        <f t="shared" si="74"/>
        <v>（株）ジェイテクト</v>
      </c>
      <c r="K71" t="str">
        <f t="shared" si="75"/>
        <v>02</v>
      </c>
      <c r="L71" t="str">
        <f t="shared" si="76"/>
        <v>香川工場</v>
      </c>
      <c r="M71" t="str">
        <f t="shared" si="62"/>
        <v>――</v>
      </c>
      <c r="N71" t="str">
        <f t="shared" si="62"/>
        <v>――</v>
      </c>
      <c r="O71" t="str">
        <f t="shared" si="77"/>
        <v>Ｍ</v>
      </c>
      <c r="P71" t="str">
        <f t="shared" si="78"/>
        <v>01</v>
      </c>
      <c r="Q71" t="str">
        <f t="shared" si="79"/>
        <v>第１</v>
      </c>
      <c r="R71" t="str">
        <f t="shared" si="80"/>
        <v>1Y</v>
      </c>
      <c r="S71" t="str">
        <f t="shared" si="81"/>
        <v>安城第１工場</v>
      </c>
      <c r="T71" t="str">
        <f t="shared" si="82"/>
        <v>直接</v>
      </c>
      <c r="U71" t="str">
        <f>""</f>
        <v/>
      </c>
      <c r="V71" t="str">
        <f>""</f>
        <v/>
      </c>
      <c r="W71" t="str">
        <f>""</f>
        <v/>
      </c>
      <c r="X71">
        <v>1</v>
      </c>
      <c r="Y71">
        <v>1</v>
      </c>
      <c r="Z71">
        <v>1.9</v>
      </c>
      <c r="AA71">
        <v>1.02</v>
      </c>
      <c r="AB71">
        <v>3</v>
      </c>
      <c r="AC71">
        <v>1.02</v>
      </c>
      <c r="AD71">
        <v>1.02</v>
      </c>
      <c r="AE71">
        <v>1.1000000000000001</v>
      </c>
      <c r="AF71">
        <v>0.5</v>
      </c>
      <c r="AG71" t="str">
        <f t="shared" si="83"/>
        <v>021</v>
      </c>
      <c r="AH71" t="str">
        <f t="shared" si="84"/>
        <v>㈱ジェイテクト</v>
      </c>
      <c r="AI71" t="str">
        <f>"004"</f>
        <v>004</v>
      </c>
      <c r="AJ71" t="str">
        <f>"S-G-19"</f>
        <v>S-G-19</v>
      </c>
      <c r="AK71" t="str">
        <f>"40136"</f>
        <v>40136</v>
      </c>
      <c r="AL71" t="str">
        <f>"9153"</f>
        <v>9153</v>
      </c>
      <c r="AM71" t="str">
        <f>"ﾚｰｽﾃｰﾊﾟｰﾄﾞﾛｰﾗｰﾍﾞｱﾘﾝｸﾞｱｳﾀｰ"</f>
        <v>ﾚｰｽﾃｰﾊﾟｰﾄﾞﾛｰﾗｰﾍﾞｱﾘﾝｸﾞｱｳﾀｰ</v>
      </c>
      <c r="AN71" t="str">
        <f t="shared" si="85"/>
        <v>067</v>
      </c>
      <c r="AO71" t="str">
        <f t="shared" si="86"/>
        <v>PT- 9 ｾﾝﾖｳ</v>
      </c>
      <c r="AP71">
        <v>72</v>
      </c>
      <c r="AQ71" t="str">
        <f>""</f>
        <v/>
      </c>
      <c r="AR71" t="str">
        <f>""</f>
        <v/>
      </c>
      <c r="AS71" t="str">
        <f>""</f>
        <v/>
      </c>
      <c r="AT71" t="str">
        <f t="shared" si="87"/>
        <v>00</v>
      </c>
      <c r="AU71">
        <v>0.5</v>
      </c>
      <c r="AV71" t="str">
        <f>""</f>
        <v/>
      </c>
      <c r="AW71" t="str">
        <f t="shared" si="64"/>
        <v>08</v>
      </c>
      <c r="AX71" t="str">
        <f t="shared" si="65"/>
        <v>専用</v>
      </c>
      <c r="AY71" t="str">
        <f t="shared" si="66"/>
        <v>01</v>
      </c>
      <c r="AZ71" t="str">
        <f t="shared" si="67"/>
        <v>後補充</v>
      </c>
      <c r="BA71" t="str">
        <f>""</f>
        <v/>
      </c>
      <c r="BB71" t="str">
        <f t="shared" si="88"/>
        <v>サンボックス＃９Ｆフタナシ</v>
      </c>
      <c r="BC71" t="str">
        <f t="shared" si="89"/>
        <v xml:space="preserve"> 370.000</v>
      </c>
      <c r="BD71" t="str">
        <f t="shared" si="90"/>
        <v xml:space="preserve"> 280.000</v>
      </c>
      <c r="BE71" t="str">
        <f t="shared" si="91"/>
        <v xml:space="preserve"> 123.000</v>
      </c>
      <c r="BF71" t="str">
        <f t="shared" si="92"/>
        <v xml:space="preserve">   0.013</v>
      </c>
      <c r="BG71" t="str">
        <f>"  10.492"</f>
        <v xml:space="preserve">  10.492</v>
      </c>
      <c r="BH71" t="str">
        <f t="shared" si="93"/>
        <v>しない</v>
      </c>
      <c r="BI71" t="str">
        <f>""</f>
        <v/>
      </c>
      <c r="BJ71" t="str">
        <f t="shared" si="94"/>
        <v>MASTER01</v>
      </c>
      <c r="BK71" t="str">
        <f t="shared" si="68"/>
        <v>2022/04/19</v>
      </c>
      <c r="BL71" t="str">
        <f t="shared" si="95"/>
        <v>NE00</v>
      </c>
      <c r="BM71" t="str">
        <f t="shared" si="96"/>
        <v>１工工務Ｇ</v>
      </c>
      <c r="BN71" t="str">
        <f t="shared" si="97"/>
        <v>46548</v>
      </c>
      <c r="BO71" t="str">
        <f t="shared" si="98"/>
        <v>長畑　玲奈</v>
      </c>
    </row>
    <row r="72" spans="1:67">
      <c r="A72" t="s">
        <v>171</v>
      </c>
      <c r="B72" t="str">
        <f>""</f>
        <v/>
      </c>
      <c r="C72" t="str">
        <f>""</f>
        <v/>
      </c>
      <c r="D72" t="s">
        <v>36</v>
      </c>
      <c r="E72" t="str">
        <f t="shared" si="69"/>
        <v>1Y</v>
      </c>
      <c r="F72" t="str">
        <f t="shared" si="70"/>
        <v>第１工場</v>
      </c>
      <c r="G72" t="str">
        <f t="shared" si="71"/>
        <v>手配</v>
      </c>
      <c r="H72" t="str">
        <f t="shared" si="72"/>
        <v>Ｐ</v>
      </c>
      <c r="I72" t="str">
        <f t="shared" si="73"/>
        <v>1814</v>
      </c>
      <c r="J72" t="str">
        <f t="shared" si="74"/>
        <v>（株）ジェイテクト</v>
      </c>
      <c r="K72" t="str">
        <f t="shared" si="75"/>
        <v>02</v>
      </c>
      <c r="L72" t="str">
        <f t="shared" si="76"/>
        <v>香川工場</v>
      </c>
      <c r="M72" t="str">
        <f t="shared" si="62"/>
        <v>――</v>
      </c>
      <c r="N72" t="str">
        <f t="shared" si="62"/>
        <v>――</v>
      </c>
      <c r="O72" t="str">
        <f t="shared" si="77"/>
        <v>Ｍ</v>
      </c>
      <c r="P72" t="str">
        <f t="shared" si="78"/>
        <v>01</v>
      </c>
      <c r="Q72" t="str">
        <f t="shared" si="79"/>
        <v>第１</v>
      </c>
      <c r="R72" t="str">
        <f t="shared" si="80"/>
        <v>1Y</v>
      </c>
      <c r="S72" t="str">
        <f t="shared" si="81"/>
        <v>安城第１工場</v>
      </c>
      <c r="T72" t="str">
        <f t="shared" si="82"/>
        <v>直接</v>
      </c>
      <c r="U72" t="str">
        <f>""</f>
        <v/>
      </c>
      <c r="V72" t="str">
        <f>""</f>
        <v/>
      </c>
      <c r="W72" t="str">
        <f>""</f>
        <v/>
      </c>
      <c r="X72">
        <v>1</v>
      </c>
      <c r="Y72">
        <v>1</v>
      </c>
      <c r="Z72">
        <v>1.9</v>
      </c>
      <c r="AA72">
        <v>0.75</v>
      </c>
      <c r="AB72">
        <v>3</v>
      </c>
      <c r="AC72">
        <v>0.75</v>
      </c>
      <c r="AD72">
        <v>0.75</v>
      </c>
      <c r="AE72">
        <v>1.1000000000000001</v>
      </c>
      <c r="AF72">
        <v>0.5</v>
      </c>
      <c r="AG72" t="str">
        <f t="shared" si="83"/>
        <v>021</v>
      </c>
      <c r="AH72" t="str">
        <f t="shared" si="84"/>
        <v>㈱ジェイテクト</v>
      </c>
      <c r="AI72" t="str">
        <f>"013"</f>
        <v>013</v>
      </c>
      <c r="AJ72" t="str">
        <f>"S-G-21"</f>
        <v>S-G-21</v>
      </c>
      <c r="AK72" t="str">
        <f>"40497"</f>
        <v>40497</v>
      </c>
      <c r="AL72" t="str">
        <f>"9152"</f>
        <v>9152</v>
      </c>
      <c r="AM72" t="str">
        <f>"ﾚｰｽ ﾃｰﾊﾟｰﾄﾞﾛｰﾗｰ ﾍﾞｱﾘﾝｸﾞ ｲﾝﾅｰ"</f>
        <v>ﾚｰｽ ﾃｰﾊﾟｰﾄﾞﾛｰﾗｰ ﾍﾞｱﾘﾝｸﾞ ｲﾝﾅｰ</v>
      </c>
      <c r="AN72" t="str">
        <f t="shared" si="85"/>
        <v>067</v>
      </c>
      <c r="AO72" t="str">
        <f t="shared" si="86"/>
        <v>PT- 9 ｾﾝﾖｳ</v>
      </c>
      <c r="AP72">
        <v>38</v>
      </c>
      <c r="AQ72" t="str">
        <f>""</f>
        <v/>
      </c>
      <c r="AR72" t="str">
        <f>""</f>
        <v/>
      </c>
      <c r="AS72" t="str">
        <f>""</f>
        <v/>
      </c>
      <c r="AT72" t="str">
        <f t="shared" si="87"/>
        <v>00</v>
      </c>
      <c r="AU72">
        <v>0.5</v>
      </c>
      <c r="AV72" t="str">
        <f>""</f>
        <v/>
      </c>
      <c r="AW72" t="str">
        <f t="shared" si="64"/>
        <v>08</v>
      </c>
      <c r="AX72" t="str">
        <f t="shared" si="65"/>
        <v>専用</v>
      </c>
      <c r="AY72" t="str">
        <f t="shared" si="66"/>
        <v>01</v>
      </c>
      <c r="AZ72" t="str">
        <f t="shared" si="67"/>
        <v>後補充</v>
      </c>
      <c r="BA72" t="str">
        <f>""</f>
        <v/>
      </c>
      <c r="BB72" t="str">
        <f t="shared" si="88"/>
        <v>サンボックス＃９Ｆフタナシ</v>
      </c>
      <c r="BC72" t="str">
        <f t="shared" si="89"/>
        <v xml:space="preserve"> 370.000</v>
      </c>
      <c r="BD72" t="str">
        <f t="shared" si="90"/>
        <v xml:space="preserve"> 280.000</v>
      </c>
      <c r="BE72" t="str">
        <f t="shared" si="91"/>
        <v xml:space="preserve"> 123.000</v>
      </c>
      <c r="BF72" t="str">
        <f t="shared" si="92"/>
        <v xml:space="preserve">   0.013</v>
      </c>
      <c r="BG72" t="str">
        <f>"   9.510"</f>
        <v xml:space="preserve">   9.510</v>
      </c>
      <c r="BH72" t="str">
        <f t="shared" si="93"/>
        <v>しない</v>
      </c>
      <c r="BI72" t="str">
        <f>""</f>
        <v/>
      </c>
      <c r="BJ72" t="str">
        <f t="shared" si="94"/>
        <v>MASTER01</v>
      </c>
      <c r="BK72" t="str">
        <f t="shared" si="68"/>
        <v>2022/04/19</v>
      </c>
      <c r="BL72" t="str">
        <f t="shared" si="95"/>
        <v>NE00</v>
      </c>
      <c r="BM72" t="str">
        <f t="shared" si="96"/>
        <v>１工工務Ｇ</v>
      </c>
      <c r="BN72" t="str">
        <f t="shared" si="97"/>
        <v>46548</v>
      </c>
      <c r="BO72" t="str">
        <f t="shared" si="98"/>
        <v>長畑　玲奈</v>
      </c>
    </row>
    <row r="73" spans="1:67">
      <c r="A73" t="s">
        <v>172</v>
      </c>
      <c r="B73" t="str">
        <f>""</f>
        <v/>
      </c>
      <c r="C73" t="str">
        <f>""</f>
        <v/>
      </c>
      <c r="D73" t="s">
        <v>36</v>
      </c>
      <c r="E73" t="str">
        <f t="shared" si="69"/>
        <v>1Y</v>
      </c>
      <c r="F73" t="str">
        <f t="shared" si="70"/>
        <v>第１工場</v>
      </c>
      <c r="G73" t="str">
        <f t="shared" si="71"/>
        <v>手配</v>
      </c>
      <c r="H73" t="str">
        <f t="shared" si="72"/>
        <v>Ｐ</v>
      </c>
      <c r="I73" t="str">
        <f t="shared" si="73"/>
        <v>1814</v>
      </c>
      <c r="J73" t="str">
        <f t="shared" si="74"/>
        <v>（株）ジェイテクト</v>
      </c>
      <c r="K73" t="str">
        <f t="shared" si="75"/>
        <v>02</v>
      </c>
      <c r="L73" t="str">
        <f t="shared" si="76"/>
        <v>香川工場</v>
      </c>
      <c r="M73" t="str">
        <f t="shared" si="62"/>
        <v>――</v>
      </c>
      <c r="N73" t="str">
        <f t="shared" si="62"/>
        <v>――</v>
      </c>
      <c r="O73" t="str">
        <f t="shared" si="77"/>
        <v>Ｍ</v>
      </c>
      <c r="P73" t="str">
        <f t="shared" si="78"/>
        <v>01</v>
      </c>
      <c r="Q73" t="str">
        <f t="shared" si="79"/>
        <v>第１</v>
      </c>
      <c r="R73" t="str">
        <f t="shared" si="80"/>
        <v>1Y</v>
      </c>
      <c r="S73" t="str">
        <f t="shared" si="81"/>
        <v>安城第１工場</v>
      </c>
      <c r="T73" t="str">
        <f t="shared" si="82"/>
        <v>直接</v>
      </c>
      <c r="U73" t="str">
        <f>""</f>
        <v/>
      </c>
      <c r="V73" t="str">
        <f>""</f>
        <v/>
      </c>
      <c r="W73" t="str">
        <f>""</f>
        <v/>
      </c>
      <c r="X73">
        <v>1</v>
      </c>
      <c r="Y73">
        <v>1</v>
      </c>
      <c r="Z73">
        <v>1.9</v>
      </c>
      <c r="AA73">
        <v>1.02</v>
      </c>
      <c r="AB73">
        <v>3</v>
      </c>
      <c r="AC73">
        <v>1.02</v>
      </c>
      <c r="AD73">
        <v>1.02</v>
      </c>
      <c r="AE73">
        <v>1.1000000000000001</v>
      </c>
      <c r="AF73">
        <v>0.5</v>
      </c>
      <c r="AG73" t="str">
        <f t="shared" si="83"/>
        <v>021</v>
      </c>
      <c r="AH73" t="str">
        <f t="shared" si="84"/>
        <v>㈱ジェイテクト</v>
      </c>
      <c r="AI73" t="str">
        <f>"015"</f>
        <v>015</v>
      </c>
      <c r="AJ73" t="str">
        <f>""</f>
        <v/>
      </c>
      <c r="AK73" t="str">
        <f>""</f>
        <v/>
      </c>
      <c r="AL73" t="str">
        <f>"9152"</f>
        <v>9152</v>
      </c>
      <c r="AM73" t="str">
        <f>"ﾚｰｽ ﾃｰﾊﾟｰﾄﾞﾛｰﾗｰ ﾍﾞｱﾘﾝｸﾞ ｲﾝﾅｰ"</f>
        <v>ﾚｰｽ ﾃｰﾊﾟｰﾄﾞﾛｰﾗｰ ﾍﾞｱﾘﾝｸﾞ ｲﾝﾅｰ</v>
      </c>
      <c r="AN73" t="str">
        <f t="shared" si="85"/>
        <v>067</v>
      </c>
      <c r="AO73" t="str">
        <f t="shared" si="86"/>
        <v>PT- 9 ｾﾝﾖｳ</v>
      </c>
      <c r="AP73">
        <v>48</v>
      </c>
      <c r="AQ73" t="str">
        <f>""</f>
        <v/>
      </c>
      <c r="AR73" t="str">
        <f>""</f>
        <v/>
      </c>
      <c r="AS73" t="str">
        <f>""</f>
        <v/>
      </c>
      <c r="AT73" t="str">
        <f t="shared" si="87"/>
        <v>00</v>
      </c>
      <c r="AU73">
        <v>0.5</v>
      </c>
      <c r="AV73" t="str">
        <f>""</f>
        <v/>
      </c>
      <c r="AW73" t="str">
        <f>""</f>
        <v/>
      </c>
      <c r="AX73" t="str">
        <f>""</f>
        <v/>
      </c>
      <c r="AY73" t="str">
        <f>""</f>
        <v/>
      </c>
      <c r="AZ73" t="str">
        <f>""</f>
        <v/>
      </c>
      <c r="BA73" t="str">
        <f>""</f>
        <v/>
      </c>
      <c r="BB73" t="str">
        <f t="shared" si="88"/>
        <v>サンボックス＃９Ｆフタナシ</v>
      </c>
      <c r="BC73" t="str">
        <f t="shared" si="89"/>
        <v xml:space="preserve"> 370.000</v>
      </c>
      <c r="BD73" t="str">
        <f t="shared" si="90"/>
        <v xml:space="preserve"> 280.000</v>
      </c>
      <c r="BE73" t="str">
        <f t="shared" si="91"/>
        <v xml:space="preserve"> 123.000</v>
      </c>
      <c r="BF73" t="str">
        <f t="shared" si="92"/>
        <v xml:space="preserve">   0.013</v>
      </c>
      <c r="BG73" t="str">
        <f>"   9.800"</f>
        <v xml:space="preserve">   9.800</v>
      </c>
      <c r="BH73" t="str">
        <f t="shared" si="93"/>
        <v>しない</v>
      </c>
      <c r="BI73" t="str">
        <f>""</f>
        <v/>
      </c>
      <c r="BJ73" t="str">
        <f t="shared" si="94"/>
        <v>MASTER01</v>
      </c>
      <c r="BK73" t="str">
        <f>"2023/01/17"</f>
        <v>2023/01/17</v>
      </c>
      <c r="BL73" t="str">
        <f t="shared" si="95"/>
        <v>NE00</v>
      </c>
      <c r="BM73" t="str">
        <f t="shared" si="96"/>
        <v>１工工務Ｇ</v>
      </c>
      <c r="BN73" t="str">
        <f t="shared" si="97"/>
        <v>46548</v>
      </c>
      <c r="BO73" t="str">
        <f t="shared" si="98"/>
        <v>長畑　玲奈</v>
      </c>
    </row>
    <row r="74" spans="1:67">
      <c r="A74" t="s">
        <v>173</v>
      </c>
      <c r="B74" t="str">
        <f>""</f>
        <v/>
      </c>
      <c r="C74" t="str">
        <f>""</f>
        <v/>
      </c>
      <c r="D74" t="s">
        <v>37</v>
      </c>
      <c r="E74" t="str">
        <f t="shared" si="69"/>
        <v>1Y</v>
      </c>
      <c r="F74" t="str">
        <f t="shared" si="70"/>
        <v>第１工場</v>
      </c>
      <c r="G74" t="str">
        <f t="shared" si="71"/>
        <v>手配</v>
      </c>
      <c r="H74" t="str">
        <f t="shared" si="72"/>
        <v>Ｐ</v>
      </c>
      <c r="I74" t="str">
        <f t="shared" si="73"/>
        <v>1814</v>
      </c>
      <c r="J74" t="str">
        <f t="shared" si="74"/>
        <v>（株）ジェイテクト</v>
      </c>
      <c r="K74" t="str">
        <f t="shared" si="75"/>
        <v>02</v>
      </c>
      <c r="L74" t="str">
        <f t="shared" si="76"/>
        <v>香川工場</v>
      </c>
      <c r="M74" t="str">
        <f t="shared" si="62"/>
        <v>――</v>
      </c>
      <c r="N74" t="str">
        <f t="shared" si="62"/>
        <v>――</v>
      </c>
      <c r="O74" t="str">
        <f t="shared" si="77"/>
        <v>Ｍ</v>
      </c>
      <c r="P74" t="str">
        <f t="shared" si="78"/>
        <v>01</v>
      </c>
      <c r="Q74" t="str">
        <f t="shared" si="79"/>
        <v>第１</v>
      </c>
      <c r="R74" t="str">
        <f t="shared" si="80"/>
        <v>1Y</v>
      </c>
      <c r="S74" t="str">
        <f t="shared" si="81"/>
        <v>安城第１工場</v>
      </c>
      <c r="T74" t="str">
        <f t="shared" si="82"/>
        <v>直接</v>
      </c>
      <c r="U74" t="str">
        <f>""</f>
        <v/>
      </c>
      <c r="V74" t="str">
        <f>""</f>
        <v/>
      </c>
      <c r="W74" t="str">
        <f>""</f>
        <v/>
      </c>
      <c r="X74">
        <v>1</v>
      </c>
      <c r="Y74">
        <v>1</v>
      </c>
      <c r="Z74">
        <v>1.9</v>
      </c>
      <c r="AA74">
        <v>1.02</v>
      </c>
      <c r="AB74">
        <v>3</v>
      </c>
      <c r="AC74">
        <v>1.02</v>
      </c>
      <c r="AD74">
        <v>1.02</v>
      </c>
      <c r="AE74">
        <v>1.1000000000000001</v>
      </c>
      <c r="AF74">
        <v>0.5</v>
      </c>
      <c r="AG74" t="str">
        <f t="shared" si="83"/>
        <v>021</v>
      </c>
      <c r="AH74" t="str">
        <f t="shared" si="84"/>
        <v>㈱ジェイテクト</v>
      </c>
      <c r="AI74" t="str">
        <f>"014"</f>
        <v>014</v>
      </c>
      <c r="AJ74" t="str">
        <f>""</f>
        <v/>
      </c>
      <c r="AK74" t="str">
        <f>""</f>
        <v/>
      </c>
      <c r="AL74" t="str">
        <f>"9153"</f>
        <v>9153</v>
      </c>
      <c r="AM74" t="str">
        <f>"ﾚｰｽ ﾃｰﾊﾟｰﾄﾞﾛｰﾗｰ ﾍﾞｱﾘﾝｸﾞ ｱｳﾀｰ"</f>
        <v>ﾚｰｽ ﾃｰﾊﾟｰﾄﾞﾛｰﾗｰ ﾍﾞｱﾘﾝｸﾞ ｱｳﾀｰ</v>
      </c>
      <c r="AN74" t="str">
        <f t="shared" si="85"/>
        <v>067</v>
      </c>
      <c r="AO74" t="str">
        <f t="shared" si="86"/>
        <v>PT- 9 ｾﾝﾖｳ</v>
      </c>
      <c r="AP74">
        <v>54</v>
      </c>
      <c r="AQ74" t="str">
        <f>""</f>
        <v/>
      </c>
      <c r="AR74" t="str">
        <f>""</f>
        <v/>
      </c>
      <c r="AS74" t="str">
        <f>""</f>
        <v/>
      </c>
      <c r="AT74" t="str">
        <f t="shared" si="87"/>
        <v>00</v>
      </c>
      <c r="AU74">
        <v>0.5</v>
      </c>
      <c r="AV74" t="str">
        <f>""</f>
        <v/>
      </c>
      <c r="AW74" t="str">
        <f>""</f>
        <v/>
      </c>
      <c r="AX74" t="str">
        <f>""</f>
        <v/>
      </c>
      <c r="AY74" t="str">
        <f>""</f>
        <v/>
      </c>
      <c r="AZ74" t="str">
        <f>""</f>
        <v/>
      </c>
      <c r="BA74" t="str">
        <f>""</f>
        <v/>
      </c>
      <c r="BB74" t="str">
        <f t="shared" si="88"/>
        <v>サンボックス＃９Ｆフタナシ</v>
      </c>
      <c r="BC74" t="str">
        <f t="shared" si="89"/>
        <v xml:space="preserve"> 370.000</v>
      </c>
      <c r="BD74" t="str">
        <f t="shared" si="90"/>
        <v xml:space="preserve"> 280.000</v>
      </c>
      <c r="BE74" t="str">
        <f t="shared" si="91"/>
        <v xml:space="preserve"> 123.000</v>
      </c>
      <c r="BF74" t="str">
        <f t="shared" si="92"/>
        <v xml:space="preserve">   0.013</v>
      </c>
      <c r="BG74" t="str">
        <f>"   8.100"</f>
        <v xml:space="preserve">   8.100</v>
      </c>
      <c r="BH74" t="str">
        <f t="shared" si="93"/>
        <v>しない</v>
      </c>
      <c r="BI74" t="str">
        <f>""</f>
        <v/>
      </c>
      <c r="BJ74" t="str">
        <f t="shared" si="94"/>
        <v>MASTER01</v>
      </c>
      <c r="BK74" t="str">
        <f>"2023/01/17"</f>
        <v>2023/01/17</v>
      </c>
      <c r="BL74" t="str">
        <f t="shared" si="95"/>
        <v>NE00</v>
      </c>
      <c r="BM74" t="str">
        <f t="shared" si="96"/>
        <v>１工工務Ｇ</v>
      </c>
      <c r="BN74" t="str">
        <f t="shared" si="97"/>
        <v>46548</v>
      </c>
      <c r="BO74" t="str">
        <f t="shared" si="98"/>
        <v>長畑　玲奈</v>
      </c>
    </row>
    <row r="75" spans="1:67">
      <c r="A75" t="s">
        <v>174</v>
      </c>
      <c r="B75" t="str">
        <f>""</f>
        <v/>
      </c>
      <c r="C75" t="str">
        <f>""</f>
        <v/>
      </c>
      <c r="D75" t="s">
        <v>36</v>
      </c>
      <c r="E75" t="str">
        <f t="shared" si="69"/>
        <v>1Y</v>
      </c>
      <c r="F75" t="str">
        <f t="shared" si="70"/>
        <v>第１工場</v>
      </c>
      <c r="G75" t="str">
        <f t="shared" si="71"/>
        <v>手配</v>
      </c>
      <c r="H75" t="str">
        <f t="shared" si="72"/>
        <v>Ｐ</v>
      </c>
      <c r="I75" t="str">
        <f t="shared" si="73"/>
        <v>1814</v>
      </c>
      <c r="J75" t="str">
        <f t="shared" si="74"/>
        <v>（株）ジェイテクト</v>
      </c>
      <c r="K75" t="str">
        <f t="shared" si="75"/>
        <v>02</v>
      </c>
      <c r="L75" t="str">
        <f t="shared" si="76"/>
        <v>香川工場</v>
      </c>
      <c r="M75" t="str">
        <f t="shared" si="62"/>
        <v>――</v>
      </c>
      <c r="N75" t="str">
        <f t="shared" si="62"/>
        <v>――</v>
      </c>
      <c r="O75" t="str">
        <f t="shared" si="77"/>
        <v>Ｍ</v>
      </c>
      <c r="P75" t="str">
        <f t="shared" si="78"/>
        <v>01</v>
      </c>
      <c r="Q75" t="str">
        <f t="shared" si="79"/>
        <v>第１</v>
      </c>
      <c r="R75" t="str">
        <f t="shared" si="80"/>
        <v>1Y</v>
      </c>
      <c r="S75" t="str">
        <f t="shared" si="81"/>
        <v>安城第１工場</v>
      </c>
      <c r="T75" t="str">
        <f t="shared" si="82"/>
        <v>直接</v>
      </c>
      <c r="U75" t="str">
        <f>""</f>
        <v/>
      </c>
      <c r="V75" t="str">
        <f>""</f>
        <v/>
      </c>
      <c r="W75" t="str">
        <f>""</f>
        <v/>
      </c>
      <c r="X75">
        <v>1</v>
      </c>
      <c r="Y75">
        <v>1</v>
      </c>
      <c r="Z75">
        <v>1.9</v>
      </c>
      <c r="AA75">
        <v>1.02</v>
      </c>
      <c r="AB75">
        <v>3</v>
      </c>
      <c r="AC75">
        <v>1.02</v>
      </c>
      <c r="AD75">
        <v>1.02</v>
      </c>
      <c r="AE75">
        <v>1.1000000000000001</v>
      </c>
      <c r="AF75">
        <v>0.5</v>
      </c>
      <c r="AG75" t="str">
        <f t="shared" si="83"/>
        <v>021</v>
      </c>
      <c r="AH75" t="str">
        <f t="shared" si="84"/>
        <v>㈱ジェイテクト</v>
      </c>
      <c r="AI75" t="str">
        <f>"011"</f>
        <v>011</v>
      </c>
      <c r="AJ75" t="str">
        <f>"S-G-5"</f>
        <v>S-G-5</v>
      </c>
      <c r="AK75" t="str">
        <f>"40135"</f>
        <v>40135</v>
      </c>
      <c r="AL75" t="str">
        <f>"9152"</f>
        <v>9152</v>
      </c>
      <c r="AM75" t="str">
        <f>"ﾚｰｽﾃｰﾊﾟｰﾄﾞﾛｰﾗｰﾍﾞｱﾘﾝｸﾞｲﾝﾅｰ"</f>
        <v>ﾚｰｽﾃｰﾊﾟｰﾄﾞﾛｰﾗｰﾍﾞｱﾘﾝｸﾞｲﾝﾅｰ</v>
      </c>
      <c r="AN75" t="str">
        <f t="shared" si="85"/>
        <v>067</v>
      </c>
      <c r="AO75" t="str">
        <f t="shared" si="86"/>
        <v>PT- 9 ｾﾝﾖｳ</v>
      </c>
      <c r="AP75">
        <v>60</v>
      </c>
      <c r="AQ75" t="str">
        <f>""</f>
        <v/>
      </c>
      <c r="AR75" t="str">
        <f>""</f>
        <v/>
      </c>
      <c r="AS75" t="str">
        <f>""</f>
        <v/>
      </c>
      <c r="AT75" t="str">
        <f t="shared" si="87"/>
        <v>00</v>
      </c>
      <c r="AU75">
        <v>0.5</v>
      </c>
      <c r="AV75" t="str">
        <f>""</f>
        <v/>
      </c>
      <c r="AW75" t="str">
        <f t="shared" ref="AW75:AW81" si="99">"08"</f>
        <v>08</v>
      </c>
      <c r="AX75" t="str">
        <f t="shared" ref="AX75:AX81" si="100">"専用"</f>
        <v>専用</v>
      </c>
      <c r="AY75" t="str">
        <f t="shared" ref="AY75:AY81" si="101">"01"</f>
        <v>01</v>
      </c>
      <c r="AZ75" t="str">
        <f t="shared" ref="AZ75:AZ81" si="102">"後補充"</f>
        <v>後補充</v>
      </c>
      <c r="BA75" t="str">
        <f>""</f>
        <v/>
      </c>
      <c r="BB75" t="str">
        <f t="shared" si="88"/>
        <v>サンボックス＃９Ｆフタナシ</v>
      </c>
      <c r="BC75" t="str">
        <f t="shared" si="89"/>
        <v xml:space="preserve"> 370.000</v>
      </c>
      <c r="BD75" t="str">
        <f t="shared" si="90"/>
        <v xml:space="preserve"> 280.000</v>
      </c>
      <c r="BE75" t="str">
        <f t="shared" si="91"/>
        <v xml:space="preserve"> 123.000</v>
      </c>
      <c r="BF75" t="str">
        <f t="shared" si="92"/>
        <v xml:space="preserve">   0.013</v>
      </c>
      <c r="BG75" t="str">
        <f>"  11.980"</f>
        <v xml:space="preserve">  11.980</v>
      </c>
      <c r="BH75" t="str">
        <f t="shared" si="93"/>
        <v>しない</v>
      </c>
      <c r="BI75" t="str">
        <f>""</f>
        <v/>
      </c>
      <c r="BJ75" t="str">
        <f t="shared" si="94"/>
        <v>MASTER01</v>
      </c>
      <c r="BK75" t="str">
        <f t="shared" ref="BK75:BK81" si="103">"2022/04/19"</f>
        <v>2022/04/19</v>
      </c>
      <c r="BL75" t="str">
        <f t="shared" si="95"/>
        <v>NE00</v>
      </c>
      <c r="BM75" t="str">
        <f t="shared" si="96"/>
        <v>１工工務Ｇ</v>
      </c>
      <c r="BN75" t="str">
        <f t="shared" si="97"/>
        <v>46548</v>
      </c>
      <c r="BO75" t="str">
        <f t="shared" si="98"/>
        <v>長畑　玲奈</v>
      </c>
    </row>
    <row r="76" spans="1:67">
      <c r="A76" t="s">
        <v>175</v>
      </c>
      <c r="B76" t="str">
        <f>""</f>
        <v/>
      </c>
      <c r="C76" t="str">
        <f>""</f>
        <v/>
      </c>
      <c r="D76" t="s">
        <v>37</v>
      </c>
      <c r="E76" t="str">
        <f t="shared" si="69"/>
        <v>1Y</v>
      </c>
      <c r="F76" t="str">
        <f t="shared" si="70"/>
        <v>第１工場</v>
      </c>
      <c r="G76" t="str">
        <f t="shared" si="71"/>
        <v>手配</v>
      </c>
      <c r="H76" t="str">
        <f t="shared" si="72"/>
        <v>Ｐ</v>
      </c>
      <c r="I76" t="str">
        <f t="shared" si="73"/>
        <v>1814</v>
      </c>
      <c r="J76" t="str">
        <f t="shared" si="74"/>
        <v>（株）ジェイテクト</v>
      </c>
      <c r="K76" t="str">
        <f t="shared" si="75"/>
        <v>02</v>
      </c>
      <c r="L76" t="str">
        <f t="shared" si="76"/>
        <v>香川工場</v>
      </c>
      <c r="M76" t="str">
        <f t="shared" si="62"/>
        <v>――</v>
      </c>
      <c r="N76" t="str">
        <f t="shared" si="62"/>
        <v>――</v>
      </c>
      <c r="O76" t="str">
        <f t="shared" si="77"/>
        <v>Ｍ</v>
      </c>
      <c r="P76" t="str">
        <f t="shared" si="78"/>
        <v>01</v>
      </c>
      <c r="Q76" t="str">
        <f t="shared" si="79"/>
        <v>第１</v>
      </c>
      <c r="R76" t="str">
        <f t="shared" si="80"/>
        <v>1Y</v>
      </c>
      <c r="S76" t="str">
        <f t="shared" si="81"/>
        <v>安城第１工場</v>
      </c>
      <c r="T76" t="str">
        <f t="shared" si="82"/>
        <v>直接</v>
      </c>
      <c r="U76" t="str">
        <f>""</f>
        <v/>
      </c>
      <c r="V76" t="str">
        <f>""</f>
        <v/>
      </c>
      <c r="W76" t="str">
        <f>""</f>
        <v/>
      </c>
      <c r="X76">
        <v>1</v>
      </c>
      <c r="Y76">
        <v>1</v>
      </c>
      <c r="Z76">
        <v>1.9</v>
      </c>
      <c r="AA76">
        <v>1.02</v>
      </c>
      <c r="AB76">
        <v>3</v>
      </c>
      <c r="AC76">
        <v>1.02</v>
      </c>
      <c r="AD76">
        <v>1.02</v>
      </c>
      <c r="AE76">
        <v>1.1000000000000001</v>
      </c>
      <c r="AF76">
        <v>0.5</v>
      </c>
      <c r="AG76" t="str">
        <f t="shared" si="83"/>
        <v>021</v>
      </c>
      <c r="AH76" t="str">
        <f t="shared" si="84"/>
        <v>㈱ジェイテクト</v>
      </c>
      <c r="AI76" t="str">
        <f>"012"</f>
        <v>012</v>
      </c>
      <c r="AJ76" t="str">
        <f>"S-G-6"</f>
        <v>S-G-6</v>
      </c>
      <c r="AK76" t="str">
        <f>"40133"</f>
        <v>40133</v>
      </c>
      <c r="AL76" t="str">
        <f>"9153"</f>
        <v>9153</v>
      </c>
      <c r="AM76" t="str">
        <f>"ﾚｰｽﾃｰﾊﾟｰﾄﾞﾛｰﾗｰﾍﾞｱﾘﾝｸﾞｱｳﾀｰ"</f>
        <v>ﾚｰｽﾃｰﾊﾟｰﾄﾞﾛｰﾗｰﾍﾞｱﾘﾝｸﾞｱｳﾀｰ</v>
      </c>
      <c r="AN76" t="str">
        <f t="shared" si="85"/>
        <v>067</v>
      </c>
      <c r="AO76" t="str">
        <f t="shared" si="86"/>
        <v>PT- 9 ｾﾝﾖｳ</v>
      </c>
      <c r="AP76">
        <v>63</v>
      </c>
      <c r="AQ76" t="str">
        <f>""</f>
        <v/>
      </c>
      <c r="AR76" t="str">
        <f>""</f>
        <v/>
      </c>
      <c r="AS76" t="str">
        <f>""</f>
        <v/>
      </c>
      <c r="AT76" t="str">
        <f t="shared" si="87"/>
        <v>00</v>
      </c>
      <c r="AU76">
        <v>0.5</v>
      </c>
      <c r="AV76" t="str">
        <f>""</f>
        <v/>
      </c>
      <c r="AW76" t="str">
        <f t="shared" si="99"/>
        <v>08</v>
      </c>
      <c r="AX76" t="str">
        <f t="shared" si="100"/>
        <v>専用</v>
      </c>
      <c r="AY76" t="str">
        <f t="shared" si="101"/>
        <v>01</v>
      </c>
      <c r="AZ76" t="str">
        <f t="shared" si="102"/>
        <v>後補充</v>
      </c>
      <c r="BA76" t="str">
        <f>""</f>
        <v/>
      </c>
      <c r="BB76" t="str">
        <f t="shared" si="88"/>
        <v>サンボックス＃９Ｆフタナシ</v>
      </c>
      <c r="BC76" t="str">
        <f t="shared" si="89"/>
        <v xml:space="preserve"> 370.000</v>
      </c>
      <c r="BD76" t="str">
        <f t="shared" si="90"/>
        <v xml:space="preserve"> 280.000</v>
      </c>
      <c r="BE76" t="str">
        <f t="shared" si="91"/>
        <v xml:space="preserve"> 123.000</v>
      </c>
      <c r="BF76" t="str">
        <f t="shared" si="92"/>
        <v xml:space="preserve">   0.013</v>
      </c>
      <c r="BG76" t="str">
        <f>"   7.000"</f>
        <v xml:space="preserve">   7.000</v>
      </c>
      <c r="BH76" t="str">
        <f t="shared" si="93"/>
        <v>しない</v>
      </c>
      <c r="BI76" t="str">
        <f>""</f>
        <v/>
      </c>
      <c r="BJ76" t="str">
        <f t="shared" si="94"/>
        <v>MASTER01</v>
      </c>
      <c r="BK76" t="str">
        <f t="shared" si="103"/>
        <v>2022/04/19</v>
      </c>
      <c r="BL76" t="str">
        <f t="shared" si="95"/>
        <v>NE00</v>
      </c>
      <c r="BM76" t="str">
        <f t="shared" si="96"/>
        <v>１工工務Ｇ</v>
      </c>
      <c r="BN76" t="str">
        <f t="shared" si="97"/>
        <v>46548</v>
      </c>
      <c r="BO76" t="str">
        <f t="shared" si="98"/>
        <v>長畑　玲奈</v>
      </c>
    </row>
    <row r="77" spans="1:67">
      <c r="A77" t="s">
        <v>176</v>
      </c>
      <c r="B77" t="str">
        <f>""</f>
        <v/>
      </c>
      <c r="C77" t="str">
        <f>""</f>
        <v/>
      </c>
      <c r="D77" t="s">
        <v>36</v>
      </c>
      <c r="E77" t="str">
        <f t="shared" si="69"/>
        <v>1Y</v>
      </c>
      <c r="F77" t="str">
        <f t="shared" si="70"/>
        <v>第１工場</v>
      </c>
      <c r="G77" t="str">
        <f t="shared" si="71"/>
        <v>手配</v>
      </c>
      <c r="H77" t="str">
        <f t="shared" si="72"/>
        <v>Ｐ</v>
      </c>
      <c r="I77" t="str">
        <f t="shared" si="73"/>
        <v>1814</v>
      </c>
      <c r="J77" t="str">
        <f t="shared" si="74"/>
        <v>（株）ジェイテクト</v>
      </c>
      <c r="K77" t="str">
        <f t="shared" si="75"/>
        <v>02</v>
      </c>
      <c r="L77" t="str">
        <f t="shared" si="76"/>
        <v>香川工場</v>
      </c>
      <c r="M77" t="str">
        <f t="shared" si="62"/>
        <v>――</v>
      </c>
      <c r="N77" t="str">
        <f t="shared" si="62"/>
        <v>――</v>
      </c>
      <c r="O77" t="str">
        <f t="shared" si="77"/>
        <v>Ｍ</v>
      </c>
      <c r="P77" t="str">
        <f t="shared" si="78"/>
        <v>01</v>
      </c>
      <c r="Q77" t="str">
        <f t="shared" si="79"/>
        <v>第１</v>
      </c>
      <c r="R77" t="str">
        <f t="shared" si="80"/>
        <v>1Y</v>
      </c>
      <c r="S77" t="str">
        <f t="shared" si="81"/>
        <v>安城第１工場</v>
      </c>
      <c r="T77" t="str">
        <f t="shared" si="82"/>
        <v>直接</v>
      </c>
      <c r="U77" t="str">
        <f>""</f>
        <v/>
      </c>
      <c r="V77" t="str">
        <f>""</f>
        <v/>
      </c>
      <c r="W77" t="str">
        <f>""</f>
        <v/>
      </c>
      <c r="X77">
        <v>1</v>
      </c>
      <c r="Y77">
        <v>1</v>
      </c>
      <c r="Z77">
        <v>1.9</v>
      </c>
      <c r="AA77">
        <v>1.02</v>
      </c>
      <c r="AB77">
        <v>3</v>
      </c>
      <c r="AC77">
        <v>1.02</v>
      </c>
      <c r="AD77">
        <v>1.02</v>
      </c>
      <c r="AE77">
        <v>1.1000000000000001</v>
      </c>
      <c r="AF77">
        <v>0.5</v>
      </c>
      <c r="AG77" t="str">
        <f t="shared" si="83"/>
        <v>021</v>
      </c>
      <c r="AH77" t="str">
        <f t="shared" si="84"/>
        <v>㈱ジェイテクト</v>
      </c>
      <c r="AI77" t="str">
        <f>"005"</f>
        <v>005</v>
      </c>
      <c r="AJ77" t="str">
        <f>"S-G-10"</f>
        <v>S-G-10</v>
      </c>
      <c r="AK77" t="str">
        <f>"40129"</f>
        <v>40129</v>
      </c>
      <c r="AL77" t="str">
        <f>"9152"</f>
        <v>9152</v>
      </c>
      <c r="AM77" t="str">
        <f>"ﾚｰｽﾃｰﾊﾟｰﾄﾞﾛｰﾗｰﾍﾞｱﾘﾝｸﾞｲﾝﾅｰ"</f>
        <v>ﾚｰｽﾃｰﾊﾟｰﾄﾞﾛｰﾗｰﾍﾞｱﾘﾝｸﾞｲﾝﾅｰ</v>
      </c>
      <c r="AN77" t="str">
        <f t="shared" si="85"/>
        <v>067</v>
      </c>
      <c r="AO77" t="str">
        <f t="shared" si="86"/>
        <v>PT- 9 ｾﾝﾖｳ</v>
      </c>
      <c r="AP77">
        <v>45</v>
      </c>
      <c r="AQ77" t="str">
        <f>""</f>
        <v/>
      </c>
      <c r="AR77" t="str">
        <f>""</f>
        <v/>
      </c>
      <c r="AS77" t="str">
        <f>""</f>
        <v/>
      </c>
      <c r="AT77" t="str">
        <f t="shared" si="87"/>
        <v>00</v>
      </c>
      <c r="AU77">
        <v>0.5</v>
      </c>
      <c r="AV77" t="str">
        <f>""</f>
        <v/>
      </c>
      <c r="AW77" t="str">
        <f t="shared" si="99"/>
        <v>08</v>
      </c>
      <c r="AX77" t="str">
        <f t="shared" si="100"/>
        <v>専用</v>
      </c>
      <c r="AY77" t="str">
        <f t="shared" si="101"/>
        <v>01</v>
      </c>
      <c r="AZ77" t="str">
        <f t="shared" si="102"/>
        <v>後補充</v>
      </c>
      <c r="BA77" t="str">
        <f>""</f>
        <v/>
      </c>
      <c r="BB77" t="str">
        <f t="shared" si="88"/>
        <v>サンボックス＃９Ｆフタナシ</v>
      </c>
      <c r="BC77" t="str">
        <f t="shared" si="89"/>
        <v xml:space="preserve"> 370.000</v>
      </c>
      <c r="BD77" t="str">
        <f t="shared" si="90"/>
        <v xml:space="preserve"> 280.000</v>
      </c>
      <c r="BE77" t="str">
        <f t="shared" si="91"/>
        <v xml:space="preserve"> 123.000</v>
      </c>
      <c r="BF77" t="str">
        <f t="shared" si="92"/>
        <v xml:space="preserve">   0.013</v>
      </c>
      <c r="BG77" t="str">
        <f>"   9.790"</f>
        <v xml:space="preserve">   9.790</v>
      </c>
      <c r="BH77" t="str">
        <f t="shared" si="93"/>
        <v>しない</v>
      </c>
      <c r="BI77" t="str">
        <f>""</f>
        <v/>
      </c>
      <c r="BJ77" t="str">
        <f t="shared" si="94"/>
        <v>MASTER01</v>
      </c>
      <c r="BK77" t="str">
        <f t="shared" si="103"/>
        <v>2022/04/19</v>
      </c>
      <c r="BL77" t="str">
        <f t="shared" si="95"/>
        <v>NE00</v>
      </c>
      <c r="BM77" t="str">
        <f t="shared" si="96"/>
        <v>１工工務Ｇ</v>
      </c>
      <c r="BN77" t="str">
        <f t="shared" si="97"/>
        <v>46548</v>
      </c>
      <c r="BO77" t="str">
        <f t="shared" si="98"/>
        <v>長畑　玲奈</v>
      </c>
    </row>
    <row r="78" spans="1:67">
      <c r="A78" t="s">
        <v>177</v>
      </c>
      <c r="B78" t="str">
        <f>""</f>
        <v/>
      </c>
      <c r="C78" t="str">
        <f>""</f>
        <v/>
      </c>
      <c r="D78" t="s">
        <v>37</v>
      </c>
      <c r="E78" t="str">
        <f t="shared" si="69"/>
        <v>1Y</v>
      </c>
      <c r="F78" t="str">
        <f t="shared" si="70"/>
        <v>第１工場</v>
      </c>
      <c r="G78" t="str">
        <f t="shared" si="71"/>
        <v>手配</v>
      </c>
      <c r="H78" t="str">
        <f t="shared" si="72"/>
        <v>Ｐ</v>
      </c>
      <c r="I78" t="str">
        <f t="shared" si="73"/>
        <v>1814</v>
      </c>
      <c r="J78" t="str">
        <f t="shared" si="74"/>
        <v>（株）ジェイテクト</v>
      </c>
      <c r="K78" t="str">
        <f t="shared" si="75"/>
        <v>02</v>
      </c>
      <c r="L78" t="str">
        <f t="shared" si="76"/>
        <v>香川工場</v>
      </c>
      <c r="M78" t="str">
        <f t="shared" si="62"/>
        <v>――</v>
      </c>
      <c r="N78" t="str">
        <f t="shared" si="62"/>
        <v>――</v>
      </c>
      <c r="O78" t="str">
        <f t="shared" si="77"/>
        <v>Ｍ</v>
      </c>
      <c r="P78" t="str">
        <f t="shared" si="78"/>
        <v>01</v>
      </c>
      <c r="Q78" t="str">
        <f t="shared" si="79"/>
        <v>第１</v>
      </c>
      <c r="R78" t="str">
        <f t="shared" si="80"/>
        <v>1Y</v>
      </c>
      <c r="S78" t="str">
        <f t="shared" si="81"/>
        <v>安城第１工場</v>
      </c>
      <c r="T78" t="str">
        <f t="shared" si="82"/>
        <v>直接</v>
      </c>
      <c r="U78" t="str">
        <f>""</f>
        <v/>
      </c>
      <c r="V78" t="str">
        <f>""</f>
        <v/>
      </c>
      <c r="W78" t="str">
        <f>""</f>
        <v/>
      </c>
      <c r="X78">
        <v>1</v>
      </c>
      <c r="Y78">
        <v>1</v>
      </c>
      <c r="Z78">
        <v>1.9</v>
      </c>
      <c r="AA78">
        <v>1.02</v>
      </c>
      <c r="AB78">
        <v>3</v>
      </c>
      <c r="AC78">
        <v>1.02</v>
      </c>
      <c r="AD78">
        <v>1.02</v>
      </c>
      <c r="AE78">
        <v>1.1000000000000001</v>
      </c>
      <c r="AF78">
        <v>0.5</v>
      </c>
      <c r="AG78" t="str">
        <f t="shared" si="83"/>
        <v>021</v>
      </c>
      <c r="AH78" t="str">
        <f t="shared" si="84"/>
        <v>㈱ジェイテクト</v>
      </c>
      <c r="AI78" t="str">
        <f>"006"</f>
        <v>006</v>
      </c>
      <c r="AJ78" t="str">
        <f>"S-G-11"</f>
        <v>S-G-11</v>
      </c>
      <c r="AK78" t="str">
        <f>"40131"</f>
        <v>40131</v>
      </c>
      <c r="AL78" t="str">
        <f>"9153"</f>
        <v>9153</v>
      </c>
      <c r="AM78" t="str">
        <f>"ﾚｰｽﾃｰﾊﾟｰﾄﾞﾛｰﾗｰﾍﾞｱﾘﾝｸﾞｱｳﾀｰ"</f>
        <v>ﾚｰｽﾃｰﾊﾟｰﾄﾞﾛｰﾗｰﾍﾞｱﾘﾝｸﾞｱｳﾀｰ</v>
      </c>
      <c r="AN78" t="str">
        <f t="shared" si="85"/>
        <v>067</v>
      </c>
      <c r="AO78" t="str">
        <f t="shared" si="86"/>
        <v>PT- 9 ｾﾝﾖｳ</v>
      </c>
      <c r="AP78">
        <v>36</v>
      </c>
      <c r="AQ78" t="str">
        <f>""</f>
        <v/>
      </c>
      <c r="AR78" t="str">
        <f>""</f>
        <v/>
      </c>
      <c r="AS78" t="str">
        <f>""</f>
        <v/>
      </c>
      <c r="AT78" t="str">
        <f t="shared" si="87"/>
        <v>00</v>
      </c>
      <c r="AU78">
        <v>0.5</v>
      </c>
      <c r="AV78" t="str">
        <f>""</f>
        <v/>
      </c>
      <c r="AW78" t="str">
        <f t="shared" si="99"/>
        <v>08</v>
      </c>
      <c r="AX78" t="str">
        <f t="shared" si="100"/>
        <v>専用</v>
      </c>
      <c r="AY78" t="str">
        <f t="shared" si="101"/>
        <v>01</v>
      </c>
      <c r="AZ78" t="str">
        <f t="shared" si="102"/>
        <v>後補充</v>
      </c>
      <c r="BA78" t="str">
        <f>""</f>
        <v/>
      </c>
      <c r="BB78" t="str">
        <f t="shared" si="88"/>
        <v>サンボックス＃９Ｆフタナシ</v>
      </c>
      <c r="BC78" t="str">
        <f t="shared" si="89"/>
        <v xml:space="preserve"> 370.000</v>
      </c>
      <c r="BD78" t="str">
        <f t="shared" si="90"/>
        <v xml:space="preserve"> 280.000</v>
      </c>
      <c r="BE78" t="str">
        <f t="shared" si="91"/>
        <v xml:space="preserve"> 123.000</v>
      </c>
      <c r="BF78" t="str">
        <f t="shared" si="92"/>
        <v xml:space="preserve">   0.013</v>
      </c>
      <c r="BG78" t="str">
        <f>"   5.668"</f>
        <v xml:space="preserve">   5.668</v>
      </c>
      <c r="BH78" t="str">
        <f t="shared" si="93"/>
        <v>しない</v>
      </c>
      <c r="BI78" t="str">
        <f>""</f>
        <v/>
      </c>
      <c r="BJ78" t="str">
        <f t="shared" si="94"/>
        <v>MASTER01</v>
      </c>
      <c r="BK78" t="str">
        <f t="shared" si="103"/>
        <v>2022/04/19</v>
      </c>
      <c r="BL78" t="str">
        <f t="shared" si="95"/>
        <v>NE00</v>
      </c>
      <c r="BM78" t="str">
        <f t="shared" si="96"/>
        <v>１工工務Ｇ</v>
      </c>
      <c r="BN78" t="str">
        <f t="shared" si="97"/>
        <v>46548</v>
      </c>
      <c r="BO78" t="str">
        <f t="shared" si="98"/>
        <v>長畑　玲奈</v>
      </c>
    </row>
    <row r="79" spans="1:67">
      <c r="A79" t="s">
        <v>178</v>
      </c>
      <c r="B79" t="str">
        <f>""</f>
        <v/>
      </c>
      <c r="C79" t="str">
        <f>""</f>
        <v/>
      </c>
      <c r="D79" t="s">
        <v>36</v>
      </c>
      <c r="E79" t="str">
        <f t="shared" si="69"/>
        <v>1Y</v>
      </c>
      <c r="F79" t="str">
        <f t="shared" si="70"/>
        <v>第１工場</v>
      </c>
      <c r="G79" t="str">
        <f t="shared" si="71"/>
        <v>手配</v>
      </c>
      <c r="H79" t="str">
        <f t="shared" si="72"/>
        <v>Ｐ</v>
      </c>
      <c r="I79" t="str">
        <f t="shared" si="73"/>
        <v>1814</v>
      </c>
      <c r="J79" t="str">
        <f t="shared" si="74"/>
        <v>（株）ジェイテクト</v>
      </c>
      <c r="K79" t="str">
        <f t="shared" si="75"/>
        <v>02</v>
      </c>
      <c r="L79" t="str">
        <f t="shared" si="76"/>
        <v>香川工場</v>
      </c>
      <c r="M79" t="str">
        <f t="shared" si="62"/>
        <v>――</v>
      </c>
      <c r="N79" t="str">
        <f t="shared" si="62"/>
        <v>――</v>
      </c>
      <c r="O79" t="str">
        <f t="shared" si="77"/>
        <v>Ｍ</v>
      </c>
      <c r="P79" t="str">
        <f t="shared" si="78"/>
        <v>01</v>
      </c>
      <c r="Q79" t="str">
        <f t="shared" si="79"/>
        <v>第１</v>
      </c>
      <c r="R79" t="str">
        <f t="shared" si="80"/>
        <v>1Y</v>
      </c>
      <c r="S79" t="str">
        <f t="shared" si="81"/>
        <v>安城第１工場</v>
      </c>
      <c r="T79" t="str">
        <f t="shared" si="82"/>
        <v>直接</v>
      </c>
      <c r="U79" t="str">
        <f>""</f>
        <v/>
      </c>
      <c r="V79" t="str">
        <f>""</f>
        <v/>
      </c>
      <c r="W79" t="str">
        <f>""</f>
        <v/>
      </c>
      <c r="X79">
        <v>1</v>
      </c>
      <c r="Y79">
        <v>1</v>
      </c>
      <c r="Z79">
        <v>1.9</v>
      </c>
      <c r="AA79">
        <v>1.02</v>
      </c>
      <c r="AB79">
        <v>3</v>
      </c>
      <c r="AC79">
        <v>1.02</v>
      </c>
      <c r="AD79">
        <v>1.02</v>
      </c>
      <c r="AE79">
        <v>1.1000000000000001</v>
      </c>
      <c r="AF79">
        <v>0.5</v>
      </c>
      <c r="AG79" t="str">
        <f t="shared" si="83"/>
        <v>021</v>
      </c>
      <c r="AH79" t="str">
        <f t="shared" si="84"/>
        <v>㈱ジェイテクト</v>
      </c>
      <c r="AI79" t="str">
        <f>"007"</f>
        <v>007</v>
      </c>
      <c r="AJ79" t="str">
        <f>"S-G-15"</f>
        <v>S-G-15</v>
      </c>
      <c r="AK79" t="str">
        <f>"40139"</f>
        <v>40139</v>
      </c>
      <c r="AL79" t="str">
        <f>"9152"</f>
        <v>9152</v>
      </c>
      <c r="AM79" t="str">
        <f>"ﾚｰｽﾃｰﾊﾟｰﾄﾞﾛｰﾗｰﾍﾞｱﾘﾝｸﾞｲﾝﾅｰ"</f>
        <v>ﾚｰｽﾃｰﾊﾟｰﾄﾞﾛｰﾗｰﾍﾞｱﾘﾝｸﾞｲﾝﾅｰ</v>
      </c>
      <c r="AN79" t="str">
        <f t="shared" si="85"/>
        <v>067</v>
      </c>
      <c r="AO79" t="str">
        <f t="shared" si="86"/>
        <v>PT- 9 ｾﾝﾖｳ</v>
      </c>
      <c r="AP79">
        <v>36</v>
      </c>
      <c r="AQ79" t="str">
        <f>""</f>
        <v/>
      </c>
      <c r="AR79" t="str">
        <f>""</f>
        <v/>
      </c>
      <c r="AS79" t="str">
        <f>""</f>
        <v/>
      </c>
      <c r="AT79" t="str">
        <f t="shared" si="87"/>
        <v>00</v>
      </c>
      <c r="AU79">
        <v>0.5</v>
      </c>
      <c r="AV79" t="str">
        <f>""</f>
        <v/>
      </c>
      <c r="AW79" t="str">
        <f t="shared" si="99"/>
        <v>08</v>
      </c>
      <c r="AX79" t="str">
        <f t="shared" si="100"/>
        <v>専用</v>
      </c>
      <c r="AY79" t="str">
        <f t="shared" si="101"/>
        <v>01</v>
      </c>
      <c r="AZ79" t="str">
        <f t="shared" si="102"/>
        <v>後補充</v>
      </c>
      <c r="BA79" t="str">
        <f>""</f>
        <v/>
      </c>
      <c r="BB79" t="str">
        <f t="shared" si="88"/>
        <v>サンボックス＃９Ｆフタナシ</v>
      </c>
      <c r="BC79" t="str">
        <f t="shared" si="89"/>
        <v xml:space="preserve"> 370.000</v>
      </c>
      <c r="BD79" t="str">
        <f t="shared" si="90"/>
        <v xml:space="preserve"> 280.000</v>
      </c>
      <c r="BE79" t="str">
        <f t="shared" si="91"/>
        <v xml:space="preserve"> 123.000</v>
      </c>
      <c r="BF79" t="str">
        <f t="shared" si="92"/>
        <v xml:space="preserve">   0.013</v>
      </c>
      <c r="BG79" t="str">
        <f>"   9.880"</f>
        <v xml:space="preserve">   9.880</v>
      </c>
      <c r="BH79" t="str">
        <f t="shared" si="93"/>
        <v>しない</v>
      </c>
      <c r="BI79" t="str">
        <f>""</f>
        <v/>
      </c>
      <c r="BJ79" t="str">
        <f t="shared" si="94"/>
        <v>MASTER01</v>
      </c>
      <c r="BK79" t="str">
        <f t="shared" si="103"/>
        <v>2022/04/19</v>
      </c>
      <c r="BL79" t="str">
        <f t="shared" si="95"/>
        <v>NE00</v>
      </c>
      <c r="BM79" t="str">
        <f t="shared" si="96"/>
        <v>１工工務Ｇ</v>
      </c>
      <c r="BN79" t="str">
        <f t="shared" si="97"/>
        <v>46548</v>
      </c>
      <c r="BO79" t="str">
        <f t="shared" si="98"/>
        <v>長畑　玲奈</v>
      </c>
    </row>
    <row r="80" spans="1:67">
      <c r="A80" t="s">
        <v>179</v>
      </c>
      <c r="B80" t="str">
        <f>""</f>
        <v/>
      </c>
      <c r="C80" t="str">
        <f>""</f>
        <v/>
      </c>
      <c r="D80" t="s">
        <v>37</v>
      </c>
      <c r="E80" t="str">
        <f t="shared" si="69"/>
        <v>1Y</v>
      </c>
      <c r="F80" t="str">
        <f t="shared" si="70"/>
        <v>第１工場</v>
      </c>
      <c r="G80" t="str">
        <f t="shared" si="71"/>
        <v>手配</v>
      </c>
      <c r="H80" t="str">
        <f t="shared" si="72"/>
        <v>Ｐ</v>
      </c>
      <c r="I80" t="str">
        <f t="shared" si="73"/>
        <v>1814</v>
      </c>
      <c r="J80" t="str">
        <f t="shared" si="74"/>
        <v>（株）ジェイテクト</v>
      </c>
      <c r="K80" t="str">
        <f t="shared" si="75"/>
        <v>02</v>
      </c>
      <c r="L80" t="str">
        <f t="shared" si="76"/>
        <v>香川工場</v>
      </c>
      <c r="M80" t="str">
        <f t="shared" si="62"/>
        <v>――</v>
      </c>
      <c r="N80" t="str">
        <f t="shared" si="62"/>
        <v>――</v>
      </c>
      <c r="O80" t="str">
        <f t="shared" si="77"/>
        <v>Ｍ</v>
      </c>
      <c r="P80" t="str">
        <f t="shared" si="78"/>
        <v>01</v>
      </c>
      <c r="Q80" t="str">
        <f t="shared" si="79"/>
        <v>第１</v>
      </c>
      <c r="R80" t="str">
        <f t="shared" si="80"/>
        <v>1Y</v>
      </c>
      <c r="S80" t="str">
        <f t="shared" si="81"/>
        <v>安城第１工場</v>
      </c>
      <c r="T80" t="str">
        <f t="shared" si="82"/>
        <v>直接</v>
      </c>
      <c r="U80" t="str">
        <f>""</f>
        <v/>
      </c>
      <c r="V80" t="str">
        <f>""</f>
        <v/>
      </c>
      <c r="W80" t="str">
        <f>""</f>
        <v/>
      </c>
      <c r="X80">
        <v>1</v>
      </c>
      <c r="Y80">
        <v>1</v>
      </c>
      <c r="Z80">
        <v>1.9</v>
      </c>
      <c r="AA80">
        <v>1.02</v>
      </c>
      <c r="AB80">
        <v>3</v>
      </c>
      <c r="AC80">
        <v>1.02</v>
      </c>
      <c r="AD80">
        <v>1.02</v>
      </c>
      <c r="AE80">
        <v>1.1000000000000001</v>
      </c>
      <c r="AF80">
        <v>0.5</v>
      </c>
      <c r="AG80" t="str">
        <f t="shared" si="83"/>
        <v>021</v>
      </c>
      <c r="AH80" t="str">
        <f t="shared" si="84"/>
        <v>㈱ジェイテクト</v>
      </c>
      <c r="AI80" t="str">
        <f>"008"</f>
        <v>008</v>
      </c>
      <c r="AJ80" t="str">
        <f>"S-G-16"</f>
        <v>S-G-16</v>
      </c>
      <c r="AK80" t="str">
        <f>"40137"</f>
        <v>40137</v>
      </c>
      <c r="AL80" t="str">
        <f>"9153"</f>
        <v>9153</v>
      </c>
      <c r="AM80" t="str">
        <f>"ﾚｰｽﾃｰﾊﾟｰﾄﾞﾛｰﾗｰﾍﾞｱﾘﾝｸﾞｱｳﾀｰ"</f>
        <v>ﾚｰｽﾃｰﾊﾟｰﾄﾞﾛｰﾗｰﾍﾞｱﾘﾝｸﾞｱｳﾀｰ</v>
      </c>
      <c r="AN80" t="str">
        <f t="shared" si="85"/>
        <v>067</v>
      </c>
      <c r="AO80" t="str">
        <f t="shared" si="86"/>
        <v>PT- 9 ｾﾝﾖｳ</v>
      </c>
      <c r="AP80">
        <v>36</v>
      </c>
      <c r="AQ80" t="str">
        <f>""</f>
        <v/>
      </c>
      <c r="AR80" t="str">
        <f>""</f>
        <v/>
      </c>
      <c r="AS80" t="str">
        <f>""</f>
        <v/>
      </c>
      <c r="AT80" t="str">
        <f t="shared" si="87"/>
        <v>00</v>
      </c>
      <c r="AU80">
        <v>0.5</v>
      </c>
      <c r="AV80" t="str">
        <f>""</f>
        <v/>
      </c>
      <c r="AW80" t="str">
        <f t="shared" si="99"/>
        <v>08</v>
      </c>
      <c r="AX80" t="str">
        <f t="shared" si="100"/>
        <v>専用</v>
      </c>
      <c r="AY80" t="str">
        <f t="shared" si="101"/>
        <v>01</v>
      </c>
      <c r="AZ80" t="str">
        <f t="shared" si="102"/>
        <v>後補充</v>
      </c>
      <c r="BA80" t="str">
        <f>""</f>
        <v/>
      </c>
      <c r="BB80" t="str">
        <f t="shared" si="88"/>
        <v>サンボックス＃９Ｆフタナシ</v>
      </c>
      <c r="BC80" t="str">
        <f t="shared" si="89"/>
        <v xml:space="preserve"> 370.000</v>
      </c>
      <c r="BD80" t="str">
        <f t="shared" si="90"/>
        <v xml:space="preserve"> 280.000</v>
      </c>
      <c r="BE80" t="str">
        <f t="shared" si="91"/>
        <v xml:space="preserve"> 123.000</v>
      </c>
      <c r="BF80" t="str">
        <f t="shared" si="92"/>
        <v xml:space="preserve">   0.013</v>
      </c>
      <c r="BG80" t="str">
        <f>"   7.144"</f>
        <v xml:space="preserve">   7.144</v>
      </c>
      <c r="BH80" t="str">
        <f t="shared" si="93"/>
        <v>しない</v>
      </c>
      <c r="BI80" t="str">
        <f>""</f>
        <v/>
      </c>
      <c r="BJ80" t="str">
        <f t="shared" si="94"/>
        <v>MASTER01</v>
      </c>
      <c r="BK80" t="str">
        <f t="shared" si="103"/>
        <v>2022/04/19</v>
      </c>
      <c r="BL80" t="str">
        <f t="shared" si="95"/>
        <v>NE00</v>
      </c>
      <c r="BM80" t="str">
        <f t="shared" si="96"/>
        <v>１工工務Ｇ</v>
      </c>
      <c r="BN80" t="str">
        <f t="shared" si="97"/>
        <v>46548</v>
      </c>
      <c r="BO80" t="str">
        <f t="shared" si="98"/>
        <v>長畑　玲奈</v>
      </c>
    </row>
    <row r="81" spans="1:67">
      <c r="A81" t="s">
        <v>180</v>
      </c>
      <c r="B81" t="str">
        <f>""</f>
        <v/>
      </c>
      <c r="C81" t="str">
        <f>""</f>
        <v/>
      </c>
      <c r="D81" t="s">
        <v>38</v>
      </c>
      <c r="E81" t="str">
        <f t="shared" si="69"/>
        <v>1Y</v>
      </c>
      <c r="F81" t="str">
        <f t="shared" si="70"/>
        <v>第１工場</v>
      </c>
      <c r="G81" t="str">
        <f t="shared" si="71"/>
        <v>手配</v>
      </c>
      <c r="H81" t="str">
        <f t="shared" si="72"/>
        <v>Ｐ</v>
      </c>
      <c r="I81" t="str">
        <f>"1821"</f>
        <v>1821</v>
      </c>
      <c r="J81" t="str">
        <f>"五興商事（株）"</f>
        <v>五興商事（株）</v>
      </c>
      <c r="K81" t="str">
        <f>"01"</f>
        <v>01</v>
      </c>
      <c r="L81" t="str">
        <f>""</f>
        <v/>
      </c>
      <c r="M81" t="str">
        <f t="shared" si="62"/>
        <v>――</v>
      </c>
      <c r="N81" t="str">
        <f t="shared" si="62"/>
        <v>――</v>
      </c>
      <c r="O81" t="str">
        <f t="shared" si="77"/>
        <v>Ｍ</v>
      </c>
      <c r="P81" t="str">
        <f t="shared" si="78"/>
        <v>01</v>
      </c>
      <c r="Q81" t="str">
        <f t="shared" si="79"/>
        <v>第１</v>
      </c>
      <c r="R81" t="str">
        <f t="shared" si="80"/>
        <v>1Y</v>
      </c>
      <c r="S81" t="str">
        <f t="shared" si="81"/>
        <v>安城第１工場</v>
      </c>
      <c r="T81" t="str">
        <f t="shared" si="82"/>
        <v>直接</v>
      </c>
      <c r="U81" t="str">
        <f>""</f>
        <v/>
      </c>
      <c r="V81" t="str">
        <f>""</f>
        <v/>
      </c>
      <c r="W81" t="str">
        <f>""</f>
        <v/>
      </c>
      <c r="X81">
        <v>1</v>
      </c>
      <c r="Y81">
        <v>1</v>
      </c>
      <c r="Z81">
        <v>1.97</v>
      </c>
      <c r="AA81">
        <v>1.05</v>
      </c>
      <c r="AB81">
        <v>3</v>
      </c>
      <c r="AC81">
        <v>1.05</v>
      </c>
      <c r="AD81">
        <v>1.05</v>
      </c>
      <c r="AE81">
        <v>1.1000000000000001</v>
      </c>
      <c r="AF81">
        <v>0.5</v>
      </c>
      <c r="AG81" t="str">
        <f>"082"</f>
        <v>082</v>
      </c>
      <c r="AH81" t="str">
        <f>"五興商事（株）"</f>
        <v>五興商事（株）</v>
      </c>
      <c r="AI81" t="str">
        <f>"001"</f>
        <v>001</v>
      </c>
      <c r="AJ81" t="str">
        <f>"M-MG-20"</f>
        <v>M-MG-20</v>
      </c>
      <c r="AK81" t="str">
        <f>"20444"</f>
        <v>20444</v>
      </c>
      <c r="AL81" t="str">
        <f>"1107"</f>
        <v>1107</v>
      </c>
      <c r="AM81" t="s">
        <v>39</v>
      </c>
      <c r="AN81" t="str">
        <f>"014"</f>
        <v>014</v>
      </c>
      <c r="AO81" t="str">
        <f>"TP-331 ﾊﾝﾖｳ"</f>
        <v>TP-331 ﾊﾝﾖｳ</v>
      </c>
      <c r="AP81">
        <v>504</v>
      </c>
      <c r="AQ81" t="str">
        <f>""</f>
        <v/>
      </c>
      <c r="AR81" t="str">
        <f>""</f>
        <v/>
      </c>
      <c r="AS81" t="str">
        <f>""</f>
        <v/>
      </c>
      <c r="AT81" t="str">
        <f t="shared" si="87"/>
        <v>00</v>
      </c>
      <c r="AU81">
        <v>0.5</v>
      </c>
      <c r="AV81" t="str">
        <f>""</f>
        <v/>
      </c>
      <c r="AW81" t="str">
        <f t="shared" si="99"/>
        <v>08</v>
      </c>
      <c r="AX81" t="str">
        <f t="shared" si="100"/>
        <v>専用</v>
      </c>
      <c r="AY81" t="str">
        <f t="shared" si="101"/>
        <v>01</v>
      </c>
      <c r="AZ81" t="str">
        <f t="shared" si="102"/>
        <v>後補充</v>
      </c>
      <c r="BA81" t="str">
        <f>""</f>
        <v/>
      </c>
      <c r="BB81" t="str">
        <f>"ＴＰ３３１フタアリ"</f>
        <v>ＴＰ３３１フタアリ</v>
      </c>
      <c r="BC81" t="str">
        <f>" 335.000"</f>
        <v xml:space="preserve"> 335.000</v>
      </c>
      <c r="BD81" t="str">
        <f>" 335.000"</f>
        <v xml:space="preserve"> 335.000</v>
      </c>
      <c r="BE81" t="str">
        <f>" 124.000"</f>
        <v xml:space="preserve"> 124.000</v>
      </c>
      <c r="BF81" t="str">
        <f>"   0.014"</f>
        <v xml:space="preserve">   0.014</v>
      </c>
      <c r="BG81" t="str">
        <f>"   9.960"</f>
        <v xml:space="preserve">   9.960</v>
      </c>
      <c r="BH81" t="str">
        <f t="shared" si="93"/>
        <v>しない</v>
      </c>
      <c r="BI81" t="str">
        <f>""</f>
        <v/>
      </c>
      <c r="BJ81" t="str">
        <f t="shared" si="94"/>
        <v>MASTER01</v>
      </c>
      <c r="BK81" t="str">
        <f t="shared" si="103"/>
        <v>2022/04/19</v>
      </c>
      <c r="BL81" t="str">
        <f t="shared" si="95"/>
        <v>NE00</v>
      </c>
      <c r="BM81" t="str">
        <f t="shared" si="96"/>
        <v>１工工務Ｇ</v>
      </c>
      <c r="BN81" t="str">
        <f t="shared" si="97"/>
        <v>46548</v>
      </c>
      <c r="BO81" t="str">
        <f t="shared" si="98"/>
        <v>長畑　玲奈</v>
      </c>
    </row>
    <row r="82" spans="1:67">
      <c r="A82" t="s">
        <v>181</v>
      </c>
      <c r="B82" t="str">
        <f>""</f>
        <v/>
      </c>
      <c r="C82" t="str">
        <f>""</f>
        <v/>
      </c>
      <c r="D82" t="s">
        <v>40</v>
      </c>
      <c r="E82" t="str">
        <f t="shared" si="69"/>
        <v>1Y</v>
      </c>
      <c r="F82" t="str">
        <f t="shared" si="70"/>
        <v>第１工場</v>
      </c>
      <c r="G82" t="str">
        <f t="shared" si="71"/>
        <v>手配</v>
      </c>
      <c r="H82" t="str">
        <f t="shared" si="72"/>
        <v>Ｐ</v>
      </c>
      <c r="I82" t="str">
        <f>"2017"</f>
        <v>2017</v>
      </c>
      <c r="J82" t="str">
        <f>"佐藤工業（株）"</f>
        <v>佐藤工業（株）</v>
      </c>
      <c r="K82" t="str">
        <f>"05"</f>
        <v>05</v>
      </c>
      <c r="L82" t="str">
        <f>"ウツノ東郷"</f>
        <v>ウツノ東郷</v>
      </c>
      <c r="M82" t="str">
        <f t="shared" ref="M82:N101" si="104">"――"</f>
        <v>――</v>
      </c>
      <c r="N82" t="str">
        <f t="shared" si="104"/>
        <v>――</v>
      </c>
      <c r="O82" t="str">
        <f t="shared" si="77"/>
        <v>Ｍ</v>
      </c>
      <c r="P82" t="str">
        <f t="shared" si="78"/>
        <v>01</v>
      </c>
      <c r="Q82" t="str">
        <f t="shared" si="79"/>
        <v>第１</v>
      </c>
      <c r="R82" t="str">
        <f t="shared" si="80"/>
        <v>1Y</v>
      </c>
      <c r="S82" t="str">
        <f t="shared" si="81"/>
        <v>安城第１工場</v>
      </c>
      <c r="T82" t="str">
        <f t="shared" si="82"/>
        <v>直接</v>
      </c>
      <c r="U82" t="str">
        <f>""</f>
        <v/>
      </c>
      <c r="V82" t="str">
        <f>""</f>
        <v/>
      </c>
      <c r="W82" t="str">
        <f>""</f>
        <v/>
      </c>
      <c r="X82">
        <v>1</v>
      </c>
      <c r="Y82">
        <v>2</v>
      </c>
      <c r="Z82">
        <v>1.82</v>
      </c>
      <c r="AA82">
        <v>0.95</v>
      </c>
      <c r="AB82">
        <v>3</v>
      </c>
      <c r="AC82">
        <v>0.95</v>
      </c>
      <c r="AD82">
        <v>0.95</v>
      </c>
      <c r="AE82">
        <v>1.1000000000000001</v>
      </c>
      <c r="AF82">
        <v>0.5</v>
      </c>
      <c r="AG82" t="str">
        <f>"024"</f>
        <v>024</v>
      </c>
      <c r="AH82" t="str">
        <f>"佐藤工業（株）"</f>
        <v>佐藤工業（株）</v>
      </c>
      <c r="AI82" t="str">
        <f>"001"</f>
        <v>001</v>
      </c>
      <c r="AJ82" t="str">
        <f>""</f>
        <v/>
      </c>
      <c r="AK82" t="str">
        <f>""</f>
        <v/>
      </c>
      <c r="AL82" t="str">
        <f>"9131"</f>
        <v>9131</v>
      </c>
      <c r="AM82" t="str">
        <f>"ｶﾊﾞｰS/A ｲﾝﾊﾞｰﾀｰ"</f>
        <v>ｶﾊﾞｰS/A ｲﾝﾊﾞｰﾀｰ</v>
      </c>
      <c r="AN82" t="str">
        <f>"143"</f>
        <v>143</v>
      </c>
      <c r="AO82" t="str">
        <f>"ｻﾝﾎﾞｯｸｽ#20B"</f>
        <v>ｻﾝﾎﾞｯｸｽ#20B</v>
      </c>
      <c r="AP82">
        <v>8</v>
      </c>
      <c r="AQ82" t="str">
        <f>""</f>
        <v/>
      </c>
      <c r="AR82" t="str">
        <f>""</f>
        <v/>
      </c>
      <c r="AS82" t="str">
        <f>""</f>
        <v/>
      </c>
      <c r="AT82" t="str">
        <f t="shared" si="87"/>
        <v>00</v>
      </c>
      <c r="AU82">
        <v>0.5</v>
      </c>
      <c r="AV82" t="str">
        <f>""</f>
        <v/>
      </c>
      <c r="AW82" t="str">
        <f>""</f>
        <v/>
      </c>
      <c r="AX82" t="str">
        <f>""</f>
        <v/>
      </c>
      <c r="AY82" t="str">
        <f>""</f>
        <v/>
      </c>
      <c r="AZ82" t="str">
        <f>""</f>
        <v/>
      </c>
      <c r="BA82" t="str">
        <f>""</f>
        <v/>
      </c>
      <c r="BB82" t="str">
        <f>"Ｔ－２０－３フタナシ"</f>
        <v>Ｔ－２０－３フタナシ</v>
      </c>
      <c r="BC82" t="str">
        <f>" 475.000"</f>
        <v xml:space="preserve"> 475.000</v>
      </c>
      <c r="BD82" t="str">
        <f>" 369.000"</f>
        <v xml:space="preserve"> 369.000</v>
      </c>
      <c r="BE82" t="str">
        <f>" 154.000"</f>
        <v xml:space="preserve"> 154.000</v>
      </c>
      <c r="BF82" t="str">
        <f>"   0.027"</f>
        <v xml:space="preserve">   0.027</v>
      </c>
      <c r="BG82" t="str">
        <f>"   8.700"</f>
        <v xml:space="preserve">   8.700</v>
      </c>
      <c r="BH82" t="str">
        <f t="shared" si="93"/>
        <v>しない</v>
      </c>
      <c r="BI82" t="str">
        <f>""</f>
        <v/>
      </c>
      <c r="BJ82" t="str">
        <f t="shared" si="94"/>
        <v>MASTER01</v>
      </c>
      <c r="BK82" t="str">
        <f>"2023/01/17"</f>
        <v>2023/01/17</v>
      </c>
      <c r="BL82" t="str">
        <f t="shared" si="95"/>
        <v>NE00</v>
      </c>
      <c r="BM82" t="str">
        <f t="shared" si="96"/>
        <v>１工工務Ｇ</v>
      </c>
      <c r="BN82" t="str">
        <f t="shared" si="97"/>
        <v>46548</v>
      </c>
      <c r="BO82" t="str">
        <f t="shared" si="98"/>
        <v>長畑　玲奈</v>
      </c>
    </row>
    <row r="83" spans="1:67">
      <c r="A83" t="s">
        <v>182</v>
      </c>
      <c r="B83" t="str">
        <f>""</f>
        <v/>
      </c>
      <c r="C83" t="str">
        <f>""</f>
        <v/>
      </c>
      <c r="D83" t="s">
        <v>40</v>
      </c>
      <c r="E83" t="str">
        <f t="shared" si="69"/>
        <v>1Y</v>
      </c>
      <c r="F83" t="str">
        <f t="shared" si="70"/>
        <v>第１工場</v>
      </c>
      <c r="G83" t="str">
        <f t="shared" si="71"/>
        <v>手配</v>
      </c>
      <c r="H83" t="str">
        <f t="shared" si="72"/>
        <v>Ｐ</v>
      </c>
      <c r="I83" t="str">
        <f>"2017"</f>
        <v>2017</v>
      </c>
      <c r="J83" t="str">
        <f>"佐藤工業（株）"</f>
        <v>佐藤工業（株）</v>
      </c>
      <c r="K83" t="str">
        <f>"03"</f>
        <v>03</v>
      </c>
      <c r="L83" t="str">
        <f>"藤塗装"</f>
        <v>藤塗装</v>
      </c>
      <c r="M83" t="str">
        <f t="shared" si="104"/>
        <v>――</v>
      </c>
      <c r="N83" t="str">
        <f t="shared" si="104"/>
        <v>――</v>
      </c>
      <c r="O83" t="str">
        <f t="shared" si="77"/>
        <v>Ｍ</v>
      </c>
      <c r="P83" t="str">
        <f t="shared" si="78"/>
        <v>01</v>
      </c>
      <c r="Q83" t="str">
        <f t="shared" si="79"/>
        <v>第１</v>
      </c>
      <c r="R83" t="str">
        <f t="shared" si="80"/>
        <v>1Y</v>
      </c>
      <c r="S83" t="str">
        <f t="shared" si="81"/>
        <v>安城第１工場</v>
      </c>
      <c r="T83" t="str">
        <f t="shared" si="82"/>
        <v>直接</v>
      </c>
      <c r="U83" t="str">
        <f>""</f>
        <v/>
      </c>
      <c r="V83" t="str">
        <f>""</f>
        <v/>
      </c>
      <c r="W83" t="str">
        <f>""</f>
        <v/>
      </c>
      <c r="X83">
        <v>1</v>
      </c>
      <c r="Y83">
        <v>2</v>
      </c>
      <c r="Z83">
        <v>1.82</v>
      </c>
      <c r="AA83">
        <v>0.95</v>
      </c>
      <c r="AB83">
        <v>3</v>
      </c>
      <c r="AC83">
        <v>0.95</v>
      </c>
      <c r="AD83">
        <v>0.95</v>
      </c>
      <c r="AE83">
        <v>1.1000000000000001</v>
      </c>
      <c r="AF83">
        <v>0.5</v>
      </c>
      <c r="AG83" t="str">
        <f>"024"</f>
        <v>024</v>
      </c>
      <c r="AH83" t="str">
        <f>"佐藤工業（株）"</f>
        <v>佐藤工業（株）</v>
      </c>
      <c r="AI83" t="str">
        <f>"100"</f>
        <v>100</v>
      </c>
      <c r="AJ83" t="str">
        <f>"I1-9"</f>
        <v>I1-9</v>
      </c>
      <c r="AK83" t="str">
        <f>"50495"</f>
        <v>50495</v>
      </c>
      <c r="AL83" t="str">
        <f>"9131"</f>
        <v>9131</v>
      </c>
      <c r="AM83" t="str">
        <f>"ｶﾊﾞｰ ｲﾝﾊﾞｰﾀｰ"</f>
        <v>ｶﾊﾞｰ ｲﾝﾊﾞｰﾀｰ</v>
      </c>
      <c r="AN83" t="str">
        <f>"143"</f>
        <v>143</v>
      </c>
      <c r="AO83" t="str">
        <f>"ｻﾝﾎﾞｯｸｽ#20B"</f>
        <v>ｻﾝﾎﾞｯｸｽ#20B</v>
      </c>
      <c r="AP83">
        <v>8</v>
      </c>
      <c r="AQ83" t="str">
        <f>""</f>
        <v/>
      </c>
      <c r="AR83" t="str">
        <f>""</f>
        <v/>
      </c>
      <c r="AS83" t="str">
        <f>""</f>
        <v/>
      </c>
      <c r="AT83" t="str">
        <f t="shared" si="87"/>
        <v>00</v>
      </c>
      <c r="AU83">
        <v>0.5</v>
      </c>
      <c r="AV83" t="str">
        <f>""</f>
        <v/>
      </c>
      <c r="AW83" t="str">
        <f>"08"</f>
        <v>08</v>
      </c>
      <c r="AX83" t="str">
        <f>"専用"</f>
        <v>専用</v>
      </c>
      <c r="AY83" t="str">
        <f>"01"</f>
        <v>01</v>
      </c>
      <c r="AZ83" t="str">
        <f>"後補充"</f>
        <v>後補充</v>
      </c>
      <c r="BA83" t="str">
        <f>""</f>
        <v/>
      </c>
      <c r="BB83" t="str">
        <f>"Ｔ－２０－３フタナシ"</f>
        <v>Ｔ－２０－３フタナシ</v>
      </c>
      <c r="BC83" t="str">
        <f>" 469.000"</f>
        <v xml:space="preserve"> 469.000</v>
      </c>
      <c r="BD83" t="str">
        <f>" 369.000"</f>
        <v xml:space="preserve"> 369.000</v>
      </c>
      <c r="BE83" t="str">
        <f>" 154.000"</f>
        <v xml:space="preserve"> 154.000</v>
      </c>
      <c r="BF83" t="str">
        <f>"   0.027"</f>
        <v xml:space="preserve">   0.027</v>
      </c>
      <c r="BG83" t="str">
        <f>"   7.806"</f>
        <v xml:space="preserve">   7.806</v>
      </c>
      <c r="BH83" t="str">
        <f t="shared" si="93"/>
        <v>しない</v>
      </c>
      <c r="BI83" t="str">
        <f>""</f>
        <v/>
      </c>
      <c r="BJ83" t="str">
        <f t="shared" si="94"/>
        <v>MASTER01</v>
      </c>
      <c r="BK83" t="str">
        <f>"2022/04/19"</f>
        <v>2022/04/19</v>
      </c>
      <c r="BL83" t="str">
        <f t="shared" si="95"/>
        <v>NE00</v>
      </c>
      <c r="BM83" t="str">
        <f t="shared" si="96"/>
        <v>１工工務Ｇ</v>
      </c>
      <c r="BN83" t="str">
        <f t="shared" si="97"/>
        <v>46548</v>
      </c>
      <c r="BO83" t="str">
        <f t="shared" si="98"/>
        <v>長畑　玲奈</v>
      </c>
    </row>
    <row r="84" spans="1:67">
      <c r="A84" t="s">
        <v>183</v>
      </c>
      <c r="B84" t="str">
        <f>""</f>
        <v/>
      </c>
      <c r="C84" t="str">
        <f>""</f>
        <v/>
      </c>
      <c r="D84" t="s">
        <v>703</v>
      </c>
      <c r="E84" t="str">
        <f t="shared" si="69"/>
        <v>1Y</v>
      </c>
      <c r="F84" t="str">
        <f t="shared" si="70"/>
        <v>第１工場</v>
      </c>
      <c r="G84" t="str">
        <f t="shared" si="71"/>
        <v>手配</v>
      </c>
      <c r="H84" t="str">
        <f t="shared" si="72"/>
        <v>Ｐ</v>
      </c>
      <c r="I84" t="str">
        <f>"2017"</f>
        <v>2017</v>
      </c>
      <c r="J84" t="str">
        <f>"佐藤工業（株）"</f>
        <v>佐藤工業（株）</v>
      </c>
      <c r="K84" t="str">
        <f>"03"</f>
        <v>03</v>
      </c>
      <c r="L84" t="str">
        <f>"藤塗装"</f>
        <v>藤塗装</v>
      </c>
      <c r="M84" t="str">
        <f t="shared" si="104"/>
        <v>――</v>
      </c>
      <c r="N84" t="str">
        <f t="shared" si="104"/>
        <v>――</v>
      </c>
      <c r="O84" t="str">
        <f t="shared" si="77"/>
        <v>Ｍ</v>
      </c>
      <c r="P84" t="str">
        <f t="shared" si="78"/>
        <v>01</v>
      </c>
      <c r="Q84" t="str">
        <f t="shared" si="79"/>
        <v>第１</v>
      </c>
      <c r="R84" t="str">
        <f t="shared" si="80"/>
        <v>1Y</v>
      </c>
      <c r="S84" t="str">
        <f t="shared" si="81"/>
        <v>安城第１工場</v>
      </c>
      <c r="T84" t="str">
        <f t="shared" si="82"/>
        <v>直接</v>
      </c>
      <c r="U84" t="str">
        <f>""</f>
        <v/>
      </c>
      <c r="V84" t="str">
        <f>""</f>
        <v/>
      </c>
      <c r="W84" t="str">
        <f>""</f>
        <v/>
      </c>
      <c r="X84">
        <v>1</v>
      </c>
      <c r="Y84">
        <v>2</v>
      </c>
      <c r="Z84">
        <v>1.82</v>
      </c>
      <c r="AA84">
        <v>0.95</v>
      </c>
      <c r="AB84">
        <v>3</v>
      </c>
      <c r="AC84">
        <v>0.95</v>
      </c>
      <c r="AD84">
        <v>0.95</v>
      </c>
      <c r="AE84">
        <v>1.1000000000000001</v>
      </c>
      <c r="AF84">
        <v>0.5</v>
      </c>
      <c r="AG84" t="str">
        <f>"024"</f>
        <v>024</v>
      </c>
      <c r="AH84" t="str">
        <f>"佐藤工業（株）"</f>
        <v>佐藤工業（株）</v>
      </c>
      <c r="AI84" t="str">
        <f>"002"</f>
        <v>002</v>
      </c>
      <c r="AJ84" t="str">
        <f>"I1-10"</f>
        <v>I1-10</v>
      </c>
      <c r="AK84" t="str">
        <f>"50446"</f>
        <v>50446</v>
      </c>
      <c r="AL84" t="str">
        <f>"9131"</f>
        <v>9131</v>
      </c>
      <c r="AM84" t="str">
        <f>"ｶﾊﾞｰｲﾝﾊﾞｰﾀｰ"</f>
        <v>ｶﾊﾞｰｲﾝﾊﾞｰﾀｰ</v>
      </c>
      <c r="AN84" t="str">
        <f>"143"</f>
        <v>143</v>
      </c>
      <c r="AO84" t="str">
        <f>"ｻﾝﾎﾞｯｸｽ#20B"</f>
        <v>ｻﾝﾎﾞｯｸｽ#20B</v>
      </c>
      <c r="AP84">
        <v>8</v>
      </c>
      <c r="AQ84" t="str">
        <f>""</f>
        <v/>
      </c>
      <c r="AR84" t="str">
        <f>""</f>
        <v/>
      </c>
      <c r="AS84" t="str">
        <f>""</f>
        <v/>
      </c>
      <c r="AT84" t="str">
        <f t="shared" si="87"/>
        <v>00</v>
      </c>
      <c r="AU84">
        <v>0.5</v>
      </c>
      <c r="AV84" t="str">
        <f>""</f>
        <v/>
      </c>
      <c r="AW84" t="str">
        <f>"08"</f>
        <v>08</v>
      </c>
      <c r="AX84" t="str">
        <f>"専用"</f>
        <v>専用</v>
      </c>
      <c r="AY84" t="str">
        <f>"01"</f>
        <v>01</v>
      </c>
      <c r="AZ84" t="str">
        <f>"後補充"</f>
        <v>後補充</v>
      </c>
      <c r="BA84" t="str">
        <f>""</f>
        <v/>
      </c>
      <c r="BB84" t="str">
        <f>"サンボックス＃２０Ｂフタナシ"</f>
        <v>サンボックス＃２０Ｂフタナシ</v>
      </c>
      <c r="BC84" t="str">
        <f>" 469.000"</f>
        <v xml:space="preserve"> 469.000</v>
      </c>
      <c r="BD84" t="str">
        <f>" 369.000"</f>
        <v xml:space="preserve"> 369.000</v>
      </c>
      <c r="BE84" t="str">
        <f>" 154.000"</f>
        <v xml:space="preserve"> 154.000</v>
      </c>
      <c r="BF84" t="str">
        <f>"   0.027"</f>
        <v xml:space="preserve">   0.027</v>
      </c>
      <c r="BG84" t="str">
        <f>"   7.806"</f>
        <v xml:space="preserve">   7.806</v>
      </c>
      <c r="BH84" t="str">
        <f t="shared" si="93"/>
        <v>しない</v>
      </c>
      <c r="BI84" t="str">
        <f>""</f>
        <v/>
      </c>
      <c r="BJ84" t="str">
        <f t="shared" si="94"/>
        <v>MASTER01</v>
      </c>
      <c r="BK84" t="str">
        <f>"2022/04/19"</f>
        <v>2022/04/19</v>
      </c>
      <c r="BL84" t="str">
        <f t="shared" si="95"/>
        <v>NE00</v>
      </c>
      <c r="BM84" t="str">
        <f t="shared" si="96"/>
        <v>１工工務Ｇ</v>
      </c>
      <c r="BN84" t="str">
        <f t="shared" si="97"/>
        <v>46548</v>
      </c>
      <c r="BO84" t="str">
        <f t="shared" si="98"/>
        <v>長畑　玲奈</v>
      </c>
    </row>
    <row r="85" spans="1:67">
      <c r="A85" t="s">
        <v>184</v>
      </c>
      <c r="B85" t="str">
        <f>""</f>
        <v/>
      </c>
      <c r="C85" t="str">
        <f>""</f>
        <v/>
      </c>
      <c r="D85" t="s">
        <v>41</v>
      </c>
      <c r="E85" t="str">
        <f t="shared" si="69"/>
        <v>1Y</v>
      </c>
      <c r="F85" t="str">
        <f t="shared" si="70"/>
        <v>第１工場</v>
      </c>
      <c r="G85" t="str">
        <f t="shared" si="71"/>
        <v>手配</v>
      </c>
      <c r="H85" t="str">
        <f t="shared" si="72"/>
        <v>Ｐ</v>
      </c>
      <c r="I85" t="str">
        <f>"2017"</f>
        <v>2017</v>
      </c>
      <c r="J85" t="str">
        <f>"佐藤工業（株）"</f>
        <v>佐藤工業（株）</v>
      </c>
      <c r="K85" t="str">
        <f>"03"</f>
        <v>03</v>
      </c>
      <c r="L85" t="str">
        <f>"藤塗装"</f>
        <v>藤塗装</v>
      </c>
      <c r="M85" t="str">
        <f t="shared" si="104"/>
        <v>――</v>
      </c>
      <c r="N85" t="str">
        <f t="shared" si="104"/>
        <v>――</v>
      </c>
      <c r="O85" t="str">
        <f t="shared" si="77"/>
        <v>Ｍ</v>
      </c>
      <c r="P85" t="str">
        <f t="shared" si="78"/>
        <v>01</v>
      </c>
      <c r="Q85" t="str">
        <f t="shared" si="79"/>
        <v>第１</v>
      </c>
      <c r="R85" t="str">
        <f t="shared" si="80"/>
        <v>1Y</v>
      </c>
      <c r="S85" t="str">
        <f t="shared" si="81"/>
        <v>安城第１工場</v>
      </c>
      <c r="T85" t="str">
        <f t="shared" si="82"/>
        <v>直接</v>
      </c>
      <c r="U85" t="str">
        <f>""</f>
        <v/>
      </c>
      <c r="V85" t="str">
        <f>""</f>
        <v/>
      </c>
      <c r="W85" t="str">
        <f>""</f>
        <v/>
      </c>
      <c r="X85">
        <v>1</v>
      </c>
      <c r="Y85">
        <v>1</v>
      </c>
      <c r="Z85">
        <v>1</v>
      </c>
      <c r="AA85">
        <v>0.75</v>
      </c>
      <c r="AB85">
        <v>3</v>
      </c>
      <c r="AC85">
        <v>0.75</v>
      </c>
      <c r="AD85">
        <v>0.75</v>
      </c>
      <c r="AE85">
        <v>1.1000000000000001</v>
      </c>
      <c r="AF85">
        <v>0.5</v>
      </c>
      <c r="AG85" t="str">
        <f>"024"</f>
        <v>024</v>
      </c>
      <c r="AH85" t="str">
        <f>"佐藤工業（株）"</f>
        <v>佐藤工業（株）</v>
      </c>
      <c r="AI85" t="str">
        <f>"001"</f>
        <v>001</v>
      </c>
      <c r="AJ85" t="str">
        <f>"KARI"</f>
        <v>KARI</v>
      </c>
      <c r="AK85" t="str">
        <f>"KARI"</f>
        <v>KARI</v>
      </c>
      <c r="AL85" t="str">
        <f>"9131"</f>
        <v>9131</v>
      </c>
      <c r="AM85" t="str">
        <f>"ｶﾊﾞｰｲﾝﾊﾞｰﾀｰ"</f>
        <v>ｶﾊﾞｰｲﾝﾊﾞｰﾀｰ</v>
      </c>
      <c r="AN85" t="str">
        <f>"143"</f>
        <v>143</v>
      </c>
      <c r="AO85" t="str">
        <f>"ｻﾝﾎﾞｯｸｽ#20B"</f>
        <v>ｻﾝﾎﾞｯｸｽ#20B</v>
      </c>
      <c r="AP85">
        <v>8</v>
      </c>
      <c r="AQ85" t="str">
        <f>""</f>
        <v/>
      </c>
      <c r="AR85" t="str">
        <f>""</f>
        <v/>
      </c>
      <c r="AS85" t="str">
        <f>""</f>
        <v/>
      </c>
      <c r="AT85" t="str">
        <f t="shared" si="87"/>
        <v>00</v>
      </c>
      <c r="AU85">
        <v>0.5</v>
      </c>
      <c r="AV85" t="str">
        <f>""</f>
        <v/>
      </c>
      <c r="AW85" t="str">
        <f>"08"</f>
        <v>08</v>
      </c>
      <c r="AX85" t="str">
        <f>"専用"</f>
        <v>専用</v>
      </c>
      <c r="AY85" t="str">
        <f>"01"</f>
        <v>01</v>
      </c>
      <c r="AZ85" t="str">
        <f>"後補充"</f>
        <v>後補充</v>
      </c>
      <c r="BA85" t="str">
        <f>""</f>
        <v/>
      </c>
      <c r="BB85" t="str">
        <f>""</f>
        <v/>
      </c>
      <c r="BC85" t="str">
        <f>"   0.000"</f>
        <v xml:space="preserve">   0.000</v>
      </c>
      <c r="BD85" t="str">
        <f>"   0.000"</f>
        <v xml:space="preserve">   0.000</v>
      </c>
      <c r="BE85" t="str">
        <f>"   0.000"</f>
        <v xml:space="preserve">   0.000</v>
      </c>
      <c r="BF85" t="str">
        <f>"   0.000"</f>
        <v xml:space="preserve">   0.000</v>
      </c>
      <c r="BG85" t="str">
        <f>"   0.000"</f>
        <v xml:space="preserve">   0.000</v>
      </c>
      <c r="BH85" t="str">
        <f t="shared" si="93"/>
        <v>しない</v>
      </c>
      <c r="BI85" t="str">
        <f>""</f>
        <v/>
      </c>
      <c r="BJ85" t="str">
        <f t="shared" si="94"/>
        <v>MASTER01</v>
      </c>
      <c r="BK85" t="str">
        <f>"2022/04/19"</f>
        <v>2022/04/19</v>
      </c>
      <c r="BL85" t="str">
        <f t="shared" si="95"/>
        <v>NE00</v>
      </c>
      <c r="BM85" t="str">
        <f t="shared" si="96"/>
        <v>１工工務Ｇ</v>
      </c>
      <c r="BN85" t="str">
        <f t="shared" si="97"/>
        <v>46548</v>
      </c>
      <c r="BO85" t="str">
        <f t="shared" si="98"/>
        <v>長畑　玲奈</v>
      </c>
    </row>
    <row r="86" spans="1:67">
      <c r="A86" t="s">
        <v>635</v>
      </c>
      <c r="B86" t="str">
        <f>""</f>
        <v/>
      </c>
      <c r="C86" t="str">
        <f>""</f>
        <v/>
      </c>
      <c r="D86" t="s">
        <v>42</v>
      </c>
      <c r="E86" t="str">
        <f t="shared" si="69"/>
        <v>1Y</v>
      </c>
      <c r="F86" t="str">
        <f t="shared" si="70"/>
        <v>第１工場</v>
      </c>
      <c r="G86" t="str">
        <f t="shared" si="71"/>
        <v>手配</v>
      </c>
      <c r="H86" t="str">
        <f t="shared" si="72"/>
        <v>Ｐ</v>
      </c>
      <c r="I86" t="str">
        <f t="shared" ref="I86:I98" si="105">"2020"</f>
        <v>2020</v>
      </c>
      <c r="J86" t="str">
        <f t="shared" ref="J86:J98" si="106">"サトープレス工業（株）"</f>
        <v>サトープレス工業（株）</v>
      </c>
      <c r="K86" t="str">
        <f t="shared" ref="K86:K107" si="107">"01"</f>
        <v>01</v>
      </c>
      <c r="L86" t="str">
        <f t="shared" ref="L86:L98" si="108">"本社工場"</f>
        <v>本社工場</v>
      </c>
      <c r="M86" t="str">
        <f t="shared" si="104"/>
        <v>――</v>
      </c>
      <c r="N86" t="str">
        <f t="shared" si="104"/>
        <v>――</v>
      </c>
      <c r="O86" t="str">
        <f t="shared" si="77"/>
        <v>Ｍ</v>
      </c>
      <c r="P86" t="str">
        <f t="shared" si="78"/>
        <v>01</v>
      </c>
      <c r="Q86" t="str">
        <f t="shared" si="79"/>
        <v>第１</v>
      </c>
      <c r="R86" t="str">
        <f t="shared" si="80"/>
        <v>1Y</v>
      </c>
      <c r="S86" t="str">
        <f t="shared" si="81"/>
        <v>安城第１工場</v>
      </c>
      <c r="T86" t="str">
        <f t="shared" si="82"/>
        <v>直接</v>
      </c>
      <c r="U86" t="str">
        <f>""</f>
        <v/>
      </c>
      <c r="V86" t="str">
        <f>""</f>
        <v/>
      </c>
      <c r="W86" t="str">
        <f>""</f>
        <v/>
      </c>
      <c r="X86">
        <v>1</v>
      </c>
      <c r="Y86">
        <v>1</v>
      </c>
      <c r="Z86">
        <v>1.78</v>
      </c>
      <c r="AA86">
        <v>1.03</v>
      </c>
      <c r="AB86">
        <v>3</v>
      </c>
      <c r="AC86">
        <v>1.03</v>
      </c>
      <c r="AD86">
        <v>1.03</v>
      </c>
      <c r="AE86">
        <v>1.1000000000000001</v>
      </c>
      <c r="AF86">
        <v>0.5</v>
      </c>
      <c r="AG86" t="str">
        <f t="shared" ref="AG86:AG98" si="109">"025"</f>
        <v>025</v>
      </c>
      <c r="AH86" t="str">
        <f t="shared" ref="AH86:AH98" si="110">"サトープレス工業（株）"</f>
        <v>サトープレス工業（株）</v>
      </c>
      <c r="AI86" t="str">
        <f>"010"</f>
        <v>010</v>
      </c>
      <c r="AJ86" t="str">
        <f>""</f>
        <v/>
      </c>
      <c r="AK86" t="str">
        <f>""</f>
        <v/>
      </c>
      <c r="AL86" t="str">
        <f>"0525"</f>
        <v>0525</v>
      </c>
      <c r="AM86" t="str">
        <f>"ﾌﾟﾗｸﾞ ﾀｲﾄ"</f>
        <v>ﾌﾟﾗｸﾞ ﾀｲﾄ</v>
      </c>
      <c r="AN86" t="str">
        <f>"012"</f>
        <v>012</v>
      </c>
      <c r="AO86" t="str">
        <f>"TP-131 ﾊﾝﾖｳ"</f>
        <v>TP-131 ﾊﾝﾖｳ</v>
      </c>
      <c r="AP86">
        <v>200</v>
      </c>
      <c r="AQ86" t="str">
        <f>""</f>
        <v/>
      </c>
      <c r="AR86" t="str">
        <f>""</f>
        <v/>
      </c>
      <c r="AS86" t="str">
        <f>""</f>
        <v/>
      </c>
      <c r="AT86" t="str">
        <f t="shared" si="87"/>
        <v>00</v>
      </c>
      <c r="AU86">
        <v>0.5</v>
      </c>
      <c r="AV86" t="str">
        <f>""</f>
        <v/>
      </c>
      <c r="AW86" t="str">
        <f>""</f>
        <v/>
      </c>
      <c r="AX86" t="str">
        <f>""</f>
        <v/>
      </c>
      <c r="AY86" t="str">
        <f>""</f>
        <v/>
      </c>
      <c r="AZ86" t="str">
        <f>""</f>
        <v/>
      </c>
      <c r="BA86" t="str">
        <f>""</f>
        <v/>
      </c>
      <c r="BB86" t="str">
        <f>"ＡＷ１３１フタナシ"</f>
        <v>ＡＷ１３１フタナシ</v>
      </c>
      <c r="BC86" t="str">
        <f>" 165.000"</f>
        <v xml:space="preserve"> 165.000</v>
      </c>
      <c r="BD86" t="str">
        <f t="shared" ref="BD86:BD98" si="111">" 335.000"</f>
        <v xml:space="preserve"> 335.000</v>
      </c>
      <c r="BE86" t="str">
        <f t="shared" ref="BE86:BE98" si="112">" 105.000"</f>
        <v xml:space="preserve"> 105.000</v>
      </c>
      <c r="BF86" t="str">
        <f>"   0.006"</f>
        <v xml:space="preserve">   0.006</v>
      </c>
      <c r="BG86" t="str">
        <f>"   1.400"</f>
        <v xml:space="preserve">   1.400</v>
      </c>
      <c r="BH86" t="str">
        <f t="shared" si="93"/>
        <v>しない</v>
      </c>
      <c r="BI86" t="str">
        <f>""</f>
        <v/>
      </c>
      <c r="BJ86" t="str">
        <f t="shared" si="94"/>
        <v>MASTER01</v>
      </c>
      <c r="BK86" t="str">
        <f>"2023/01/17"</f>
        <v>2023/01/17</v>
      </c>
      <c r="BL86" t="str">
        <f t="shared" si="95"/>
        <v>NE00</v>
      </c>
      <c r="BM86" t="str">
        <f t="shared" si="96"/>
        <v>１工工務Ｇ</v>
      </c>
      <c r="BN86" t="str">
        <f t="shared" si="97"/>
        <v>46548</v>
      </c>
      <c r="BO86" t="str">
        <f t="shared" si="98"/>
        <v>長畑　玲奈</v>
      </c>
    </row>
    <row r="87" spans="1:67">
      <c r="A87" t="s">
        <v>185</v>
      </c>
      <c r="B87" t="str">
        <f>""</f>
        <v/>
      </c>
      <c r="C87" t="str">
        <f>""</f>
        <v/>
      </c>
      <c r="D87" t="s">
        <v>19</v>
      </c>
      <c r="E87" t="str">
        <f t="shared" si="69"/>
        <v>1Y</v>
      </c>
      <c r="F87" t="str">
        <f t="shared" si="70"/>
        <v>第１工場</v>
      </c>
      <c r="G87" t="str">
        <f t="shared" si="71"/>
        <v>手配</v>
      </c>
      <c r="H87" t="str">
        <f t="shared" si="72"/>
        <v>Ｐ</v>
      </c>
      <c r="I87" t="str">
        <f t="shared" si="105"/>
        <v>2020</v>
      </c>
      <c r="J87" t="str">
        <f t="shared" si="106"/>
        <v>サトープレス工業（株）</v>
      </c>
      <c r="K87" t="str">
        <f t="shared" si="107"/>
        <v>01</v>
      </c>
      <c r="L87" t="str">
        <f t="shared" si="108"/>
        <v>本社工場</v>
      </c>
      <c r="M87" t="str">
        <f t="shared" si="104"/>
        <v>――</v>
      </c>
      <c r="N87" t="str">
        <f t="shared" si="104"/>
        <v>――</v>
      </c>
      <c r="O87" t="str">
        <f t="shared" si="77"/>
        <v>Ｍ</v>
      </c>
      <c r="P87" t="str">
        <f t="shared" si="78"/>
        <v>01</v>
      </c>
      <c r="Q87" t="str">
        <f t="shared" si="79"/>
        <v>第１</v>
      </c>
      <c r="R87" t="str">
        <f t="shared" si="80"/>
        <v>1Y</v>
      </c>
      <c r="S87" t="str">
        <f t="shared" si="81"/>
        <v>安城第１工場</v>
      </c>
      <c r="T87" t="str">
        <f t="shared" si="82"/>
        <v>直接</v>
      </c>
      <c r="U87" t="str">
        <f>""</f>
        <v/>
      </c>
      <c r="V87" t="str">
        <f>""</f>
        <v/>
      </c>
      <c r="W87" t="str">
        <f>""</f>
        <v/>
      </c>
      <c r="X87">
        <v>1</v>
      </c>
      <c r="Y87">
        <v>1</v>
      </c>
      <c r="Z87">
        <v>1.78</v>
      </c>
      <c r="AA87">
        <v>1.03</v>
      </c>
      <c r="AB87">
        <v>3</v>
      </c>
      <c r="AC87">
        <v>1.03</v>
      </c>
      <c r="AD87">
        <v>1.03</v>
      </c>
      <c r="AE87">
        <v>1.1000000000000001</v>
      </c>
      <c r="AF87">
        <v>0.5</v>
      </c>
      <c r="AG87" t="str">
        <f t="shared" si="109"/>
        <v>025</v>
      </c>
      <c r="AH87" t="str">
        <f t="shared" si="110"/>
        <v>サトープレス工業（株）</v>
      </c>
      <c r="AI87" t="str">
        <f>"013"</f>
        <v>013</v>
      </c>
      <c r="AJ87" t="str">
        <f>""</f>
        <v/>
      </c>
      <c r="AK87" t="str">
        <f>""</f>
        <v/>
      </c>
      <c r="AL87" t="str">
        <f>"0615"</f>
        <v>0615</v>
      </c>
      <c r="AM87" t="str">
        <f>"ﾌﾟﾚｰﾄ ｵｲﾙ ｶﾞｲﾄﾞ"</f>
        <v>ﾌﾟﾚｰﾄ ｵｲﾙ ｶﾞｲﾄﾞ</v>
      </c>
      <c r="AN87" t="str">
        <f>"012"</f>
        <v>012</v>
      </c>
      <c r="AO87" t="str">
        <f>"TP-131 ﾊﾝﾖｳ"</f>
        <v>TP-131 ﾊﾝﾖｳ</v>
      </c>
      <c r="AP87">
        <v>100</v>
      </c>
      <c r="AQ87" t="str">
        <f>""</f>
        <v/>
      </c>
      <c r="AR87" t="str">
        <f>""</f>
        <v/>
      </c>
      <c r="AS87" t="str">
        <f>""</f>
        <v/>
      </c>
      <c r="AT87" t="str">
        <f t="shared" si="87"/>
        <v>00</v>
      </c>
      <c r="AU87">
        <v>0.5</v>
      </c>
      <c r="AV87" t="str">
        <f>""</f>
        <v/>
      </c>
      <c r="AW87" t="str">
        <f>""</f>
        <v/>
      </c>
      <c r="AX87" t="str">
        <f>""</f>
        <v/>
      </c>
      <c r="AY87" t="str">
        <f>""</f>
        <v/>
      </c>
      <c r="AZ87" t="str">
        <f>""</f>
        <v/>
      </c>
      <c r="BA87" t="str">
        <f>""</f>
        <v/>
      </c>
      <c r="BB87" t="str">
        <f>"ＡＷ１３１フタナシ"</f>
        <v>ＡＷ１３１フタナシ</v>
      </c>
      <c r="BC87" t="str">
        <f>" 165.000"</f>
        <v xml:space="preserve"> 165.000</v>
      </c>
      <c r="BD87" t="str">
        <f t="shared" si="111"/>
        <v xml:space="preserve"> 335.000</v>
      </c>
      <c r="BE87" t="str">
        <f t="shared" si="112"/>
        <v xml:space="preserve"> 105.000</v>
      </c>
      <c r="BF87" t="str">
        <f>"   0.006"</f>
        <v xml:space="preserve">   0.006</v>
      </c>
      <c r="BG87" t="str">
        <f>"   4.630"</f>
        <v xml:space="preserve">   4.630</v>
      </c>
      <c r="BH87" t="str">
        <f t="shared" si="93"/>
        <v>しない</v>
      </c>
      <c r="BI87" t="str">
        <f>""</f>
        <v/>
      </c>
      <c r="BJ87" t="str">
        <f t="shared" si="94"/>
        <v>MASTER01</v>
      </c>
      <c r="BK87" t="str">
        <f>"2023/01/17"</f>
        <v>2023/01/17</v>
      </c>
      <c r="BL87" t="str">
        <f t="shared" si="95"/>
        <v>NE00</v>
      </c>
      <c r="BM87" t="str">
        <f t="shared" si="96"/>
        <v>１工工務Ｇ</v>
      </c>
      <c r="BN87" t="str">
        <f t="shared" si="97"/>
        <v>46548</v>
      </c>
      <c r="BO87" t="str">
        <f t="shared" si="98"/>
        <v>長畑　玲奈</v>
      </c>
    </row>
    <row r="88" spans="1:67">
      <c r="A88" t="s">
        <v>186</v>
      </c>
      <c r="B88" t="str">
        <f>""</f>
        <v/>
      </c>
      <c r="C88" t="str">
        <f>""</f>
        <v/>
      </c>
      <c r="D88" t="s">
        <v>43</v>
      </c>
      <c r="E88" t="str">
        <f t="shared" si="69"/>
        <v>1Y</v>
      </c>
      <c r="F88" t="str">
        <f t="shared" si="70"/>
        <v>第１工場</v>
      </c>
      <c r="G88" t="str">
        <f t="shared" si="71"/>
        <v>手配</v>
      </c>
      <c r="H88" t="str">
        <f t="shared" si="72"/>
        <v>Ｐ</v>
      </c>
      <c r="I88" t="str">
        <f t="shared" si="105"/>
        <v>2020</v>
      </c>
      <c r="J88" t="str">
        <f t="shared" si="106"/>
        <v>サトープレス工業（株）</v>
      </c>
      <c r="K88" t="str">
        <f t="shared" si="107"/>
        <v>01</v>
      </c>
      <c r="L88" t="str">
        <f t="shared" si="108"/>
        <v>本社工場</v>
      </c>
      <c r="M88" t="str">
        <f t="shared" si="104"/>
        <v>――</v>
      </c>
      <c r="N88" t="str">
        <f t="shared" si="104"/>
        <v>――</v>
      </c>
      <c r="O88" t="str">
        <f t="shared" si="77"/>
        <v>Ｍ</v>
      </c>
      <c r="P88" t="str">
        <f t="shared" si="78"/>
        <v>01</v>
      </c>
      <c r="Q88" t="str">
        <f t="shared" si="79"/>
        <v>第１</v>
      </c>
      <c r="R88" t="str">
        <f t="shared" si="80"/>
        <v>1Y</v>
      </c>
      <c r="S88" t="str">
        <f t="shared" si="81"/>
        <v>安城第１工場</v>
      </c>
      <c r="T88" t="str">
        <f t="shared" si="82"/>
        <v>直接</v>
      </c>
      <c r="U88" t="str">
        <f>""</f>
        <v/>
      </c>
      <c r="V88" t="str">
        <f>""</f>
        <v/>
      </c>
      <c r="W88" t="str">
        <f>""</f>
        <v/>
      </c>
      <c r="X88">
        <v>1</v>
      </c>
      <c r="Y88">
        <v>1</v>
      </c>
      <c r="Z88">
        <v>1.78</v>
      </c>
      <c r="AA88">
        <v>1.03</v>
      </c>
      <c r="AB88">
        <v>3</v>
      </c>
      <c r="AC88">
        <v>1.03</v>
      </c>
      <c r="AD88">
        <v>1.03</v>
      </c>
      <c r="AE88">
        <v>1.1000000000000001</v>
      </c>
      <c r="AF88">
        <v>0.5</v>
      </c>
      <c r="AG88" t="str">
        <f t="shared" si="109"/>
        <v>025</v>
      </c>
      <c r="AH88" t="str">
        <f t="shared" si="110"/>
        <v>サトープレス工業（株）</v>
      </c>
      <c r="AI88" t="str">
        <f>"007"</f>
        <v>007</v>
      </c>
      <c r="AJ88" t="str">
        <f>"M-ST-6"</f>
        <v>M-ST-6</v>
      </c>
      <c r="AK88" t="str">
        <f>"20434"</f>
        <v>20434</v>
      </c>
      <c r="AL88" t="str">
        <f>"0019"</f>
        <v>0019</v>
      </c>
      <c r="AM88" t="str">
        <f>"ﾌﾞﾗｹｯﾄﾜｲﾔｰﾊｰﾈｽｸﾗﾝﾌﾟ"</f>
        <v>ﾌﾞﾗｹｯﾄﾜｲﾔｰﾊｰﾈｽｸﾗﾝﾌﾟ</v>
      </c>
      <c r="AN88" t="str">
        <f>"053"</f>
        <v>053</v>
      </c>
      <c r="AO88" t="str">
        <f>"AW-331 ｾﾝﾖｳ"</f>
        <v>AW-331 ｾﾝﾖｳ</v>
      </c>
      <c r="AP88">
        <v>200</v>
      </c>
      <c r="AQ88" t="str">
        <f>""</f>
        <v/>
      </c>
      <c r="AR88" t="str">
        <f>""</f>
        <v/>
      </c>
      <c r="AS88" t="str">
        <f>""</f>
        <v/>
      </c>
      <c r="AT88" t="str">
        <f t="shared" si="87"/>
        <v>00</v>
      </c>
      <c r="AU88">
        <v>0.5</v>
      </c>
      <c r="AV88" t="str">
        <f>""</f>
        <v/>
      </c>
      <c r="AW88" t="str">
        <f>"08"</f>
        <v>08</v>
      </c>
      <c r="AX88" t="str">
        <f>"専用"</f>
        <v>専用</v>
      </c>
      <c r="AY88" t="str">
        <f>"01"</f>
        <v>01</v>
      </c>
      <c r="AZ88" t="str">
        <f>"後補充"</f>
        <v>後補充</v>
      </c>
      <c r="BA88" t="str">
        <f>""</f>
        <v/>
      </c>
      <c r="BB88" t="str">
        <f>"ＴＰ３３１フタナシ"</f>
        <v>ＴＰ３３１フタナシ</v>
      </c>
      <c r="BC88" t="str">
        <f>" 335.000"</f>
        <v xml:space="preserve"> 335.000</v>
      </c>
      <c r="BD88" t="str">
        <f t="shared" si="111"/>
        <v xml:space="preserve"> 335.000</v>
      </c>
      <c r="BE88" t="str">
        <f t="shared" si="112"/>
        <v xml:space="preserve"> 105.000</v>
      </c>
      <c r="BF88" t="str">
        <f>"   0.012"</f>
        <v xml:space="preserve">   0.012</v>
      </c>
      <c r="BG88" t="str">
        <f>"   5.280"</f>
        <v xml:space="preserve">   5.280</v>
      </c>
      <c r="BH88" t="str">
        <f t="shared" si="93"/>
        <v>しない</v>
      </c>
      <c r="BI88" t="str">
        <f>""</f>
        <v/>
      </c>
      <c r="BJ88" t="str">
        <f t="shared" si="94"/>
        <v>MASTER01</v>
      </c>
      <c r="BK88" t="str">
        <f>"2022/04/19"</f>
        <v>2022/04/19</v>
      </c>
      <c r="BL88" t="str">
        <f t="shared" si="95"/>
        <v>NE00</v>
      </c>
      <c r="BM88" t="str">
        <f t="shared" si="96"/>
        <v>１工工務Ｇ</v>
      </c>
      <c r="BN88" t="str">
        <f t="shared" si="97"/>
        <v>46548</v>
      </c>
      <c r="BO88" t="str">
        <f t="shared" si="98"/>
        <v>長畑　玲奈</v>
      </c>
    </row>
    <row r="89" spans="1:67">
      <c r="A89" t="s">
        <v>187</v>
      </c>
      <c r="B89" t="str">
        <f>""</f>
        <v/>
      </c>
      <c r="C89" t="str">
        <f>""</f>
        <v/>
      </c>
      <c r="D89" t="s">
        <v>44</v>
      </c>
      <c r="E89" t="str">
        <f t="shared" si="69"/>
        <v>1Y</v>
      </c>
      <c r="F89" t="str">
        <f t="shared" si="70"/>
        <v>第１工場</v>
      </c>
      <c r="G89" t="str">
        <f t="shared" si="71"/>
        <v>手配</v>
      </c>
      <c r="H89" t="str">
        <f t="shared" si="72"/>
        <v>Ｐ</v>
      </c>
      <c r="I89" t="str">
        <f t="shared" si="105"/>
        <v>2020</v>
      </c>
      <c r="J89" t="str">
        <f t="shared" si="106"/>
        <v>サトープレス工業（株）</v>
      </c>
      <c r="K89" t="str">
        <f t="shared" si="107"/>
        <v>01</v>
      </c>
      <c r="L89" t="str">
        <f t="shared" si="108"/>
        <v>本社工場</v>
      </c>
      <c r="M89" t="str">
        <f t="shared" si="104"/>
        <v>――</v>
      </c>
      <c r="N89" t="str">
        <f t="shared" si="104"/>
        <v>――</v>
      </c>
      <c r="O89" t="str">
        <f t="shared" si="77"/>
        <v>Ｍ</v>
      </c>
      <c r="P89" t="str">
        <f t="shared" si="78"/>
        <v>01</v>
      </c>
      <c r="Q89" t="str">
        <f t="shared" si="79"/>
        <v>第１</v>
      </c>
      <c r="R89" t="str">
        <f t="shared" si="80"/>
        <v>1Y</v>
      </c>
      <c r="S89" t="str">
        <f t="shared" si="81"/>
        <v>安城第１工場</v>
      </c>
      <c r="T89" t="str">
        <f t="shared" si="82"/>
        <v>直接</v>
      </c>
      <c r="U89" t="str">
        <f>""</f>
        <v/>
      </c>
      <c r="V89" t="str">
        <f>""</f>
        <v/>
      </c>
      <c r="W89" t="str">
        <f>""</f>
        <v/>
      </c>
      <c r="X89">
        <v>1</v>
      </c>
      <c r="Y89">
        <v>1</v>
      </c>
      <c r="Z89">
        <v>1.78</v>
      </c>
      <c r="AA89">
        <v>1.03</v>
      </c>
      <c r="AB89">
        <v>3</v>
      </c>
      <c r="AC89">
        <v>1.03</v>
      </c>
      <c r="AD89">
        <v>1.03</v>
      </c>
      <c r="AE89">
        <v>1.1000000000000001</v>
      </c>
      <c r="AF89">
        <v>0.5</v>
      </c>
      <c r="AG89" t="str">
        <f t="shared" si="109"/>
        <v>025</v>
      </c>
      <c r="AH89" t="str">
        <f t="shared" si="110"/>
        <v>サトープレス工業（株）</v>
      </c>
      <c r="AI89" t="str">
        <f>"008"</f>
        <v>008</v>
      </c>
      <c r="AJ89" t="str">
        <f>"S-MG-22"</f>
        <v>S-MG-22</v>
      </c>
      <c r="AK89" t="str">
        <f>"10433"</f>
        <v>10433</v>
      </c>
      <c r="AL89" t="str">
        <f>"0562"</f>
        <v>0562</v>
      </c>
      <c r="AM89" t="str">
        <f>"ｸﾗﾝﾌﾟｾﾝｻ-"</f>
        <v>ｸﾗﾝﾌﾟｾﾝｻ-</v>
      </c>
      <c r="AN89" t="str">
        <f>"051"</f>
        <v>051</v>
      </c>
      <c r="AO89" t="str">
        <f>"AW-131 ｾﾝﾖｳ"</f>
        <v>AW-131 ｾﾝﾖｳ</v>
      </c>
      <c r="AP89">
        <v>300</v>
      </c>
      <c r="AQ89" t="str">
        <f>""</f>
        <v/>
      </c>
      <c r="AR89" t="str">
        <f>""</f>
        <v/>
      </c>
      <c r="AS89" t="str">
        <f>""</f>
        <v/>
      </c>
      <c r="AT89" t="str">
        <f t="shared" si="87"/>
        <v>00</v>
      </c>
      <c r="AU89">
        <v>0.5</v>
      </c>
      <c r="AV89" t="str">
        <f>""</f>
        <v/>
      </c>
      <c r="AW89" t="str">
        <f>"08"</f>
        <v>08</v>
      </c>
      <c r="AX89" t="str">
        <f>"専用"</f>
        <v>専用</v>
      </c>
      <c r="AY89" t="str">
        <f>"01"</f>
        <v>01</v>
      </c>
      <c r="AZ89" t="str">
        <f>"後補充"</f>
        <v>後補充</v>
      </c>
      <c r="BA89" t="str">
        <f>""</f>
        <v/>
      </c>
      <c r="BB89" t="str">
        <f>"ＡＷ１３１フタナシ"</f>
        <v>ＡＷ１３１フタナシ</v>
      </c>
      <c r="BC89" t="str">
        <f>" 165.000"</f>
        <v xml:space="preserve"> 165.000</v>
      </c>
      <c r="BD89" t="str">
        <f t="shared" si="111"/>
        <v xml:space="preserve"> 335.000</v>
      </c>
      <c r="BE89" t="str">
        <f t="shared" si="112"/>
        <v xml:space="preserve"> 105.000</v>
      </c>
      <c r="BF89" t="str">
        <f>"   0.006"</f>
        <v xml:space="preserve">   0.006</v>
      </c>
      <c r="BG89" t="str">
        <f>"   4.740"</f>
        <v xml:space="preserve">   4.740</v>
      </c>
      <c r="BH89" t="str">
        <f t="shared" si="93"/>
        <v>しない</v>
      </c>
      <c r="BI89" t="str">
        <f>""</f>
        <v/>
      </c>
      <c r="BJ89" t="str">
        <f t="shared" si="94"/>
        <v>MASTER01</v>
      </c>
      <c r="BK89" t="str">
        <f>"2022/04/19"</f>
        <v>2022/04/19</v>
      </c>
      <c r="BL89" t="str">
        <f t="shared" si="95"/>
        <v>NE00</v>
      </c>
      <c r="BM89" t="str">
        <f t="shared" si="96"/>
        <v>１工工務Ｇ</v>
      </c>
      <c r="BN89" t="str">
        <f t="shared" si="97"/>
        <v>46548</v>
      </c>
      <c r="BO89" t="str">
        <f t="shared" si="98"/>
        <v>長畑　玲奈</v>
      </c>
    </row>
    <row r="90" spans="1:67">
      <c r="A90" t="s">
        <v>188</v>
      </c>
      <c r="B90" t="str">
        <f>""</f>
        <v/>
      </c>
      <c r="C90" t="str">
        <f>""</f>
        <v/>
      </c>
      <c r="D90" t="s">
        <v>44</v>
      </c>
      <c r="E90" t="str">
        <f t="shared" si="69"/>
        <v>1Y</v>
      </c>
      <c r="F90" t="str">
        <f t="shared" si="70"/>
        <v>第１工場</v>
      </c>
      <c r="G90" t="str">
        <f t="shared" si="71"/>
        <v>手配</v>
      </c>
      <c r="H90" t="str">
        <f t="shared" si="72"/>
        <v>Ｐ</v>
      </c>
      <c r="I90" t="str">
        <f t="shared" si="105"/>
        <v>2020</v>
      </c>
      <c r="J90" t="str">
        <f t="shared" si="106"/>
        <v>サトープレス工業（株）</v>
      </c>
      <c r="K90" t="str">
        <f t="shared" si="107"/>
        <v>01</v>
      </c>
      <c r="L90" t="str">
        <f t="shared" si="108"/>
        <v>本社工場</v>
      </c>
      <c r="M90" t="str">
        <f t="shared" si="104"/>
        <v>――</v>
      </c>
      <c r="N90" t="str">
        <f t="shared" si="104"/>
        <v>――</v>
      </c>
      <c r="O90" t="str">
        <f t="shared" si="77"/>
        <v>Ｍ</v>
      </c>
      <c r="P90" t="str">
        <f t="shared" si="78"/>
        <v>01</v>
      </c>
      <c r="Q90" t="str">
        <f t="shared" si="79"/>
        <v>第１</v>
      </c>
      <c r="R90" t="str">
        <f t="shared" si="80"/>
        <v>1Y</v>
      </c>
      <c r="S90" t="str">
        <f t="shared" si="81"/>
        <v>安城第１工場</v>
      </c>
      <c r="T90" t="str">
        <f t="shared" si="82"/>
        <v>直接</v>
      </c>
      <c r="U90" t="str">
        <f>""</f>
        <v/>
      </c>
      <c r="V90" t="str">
        <f>""</f>
        <v/>
      </c>
      <c r="W90" t="str">
        <f>""</f>
        <v/>
      </c>
      <c r="X90">
        <v>1</v>
      </c>
      <c r="Y90">
        <v>1</v>
      </c>
      <c r="Z90">
        <v>1.78</v>
      </c>
      <c r="AA90">
        <v>1.03</v>
      </c>
      <c r="AB90">
        <v>3</v>
      </c>
      <c r="AC90">
        <v>1.03</v>
      </c>
      <c r="AD90">
        <v>1.03</v>
      </c>
      <c r="AE90">
        <v>1.1000000000000001</v>
      </c>
      <c r="AF90">
        <v>0.5</v>
      </c>
      <c r="AG90" t="str">
        <f t="shared" si="109"/>
        <v>025</v>
      </c>
      <c r="AH90" t="str">
        <f t="shared" si="110"/>
        <v>サトープレス工業（株）</v>
      </c>
      <c r="AI90" t="str">
        <f>"001"</f>
        <v>001</v>
      </c>
      <c r="AJ90" t="str">
        <f>"S-MG-21"</f>
        <v>S-MG-21</v>
      </c>
      <c r="AK90" t="str">
        <f>"10429"</f>
        <v>10429</v>
      </c>
      <c r="AL90" t="str">
        <f>"0562"</f>
        <v>0562</v>
      </c>
      <c r="AM90" t="str">
        <f>"ｸﾗﾝﾌﾟｾﾝｻ-"</f>
        <v>ｸﾗﾝﾌﾟｾﾝｻ-</v>
      </c>
      <c r="AN90" t="str">
        <f>"012"</f>
        <v>012</v>
      </c>
      <c r="AO90" t="str">
        <f>"TP-131 ﾊﾝﾖｳ"</f>
        <v>TP-131 ﾊﾝﾖｳ</v>
      </c>
      <c r="AP90">
        <v>1000</v>
      </c>
      <c r="AQ90" t="str">
        <f>""</f>
        <v/>
      </c>
      <c r="AR90" t="str">
        <f>""</f>
        <v/>
      </c>
      <c r="AS90" t="str">
        <f>""</f>
        <v/>
      </c>
      <c r="AT90" t="str">
        <f t="shared" si="87"/>
        <v>00</v>
      </c>
      <c r="AU90">
        <v>0.5</v>
      </c>
      <c r="AV90" t="str">
        <f>""</f>
        <v/>
      </c>
      <c r="AW90" t="str">
        <f>"08"</f>
        <v>08</v>
      </c>
      <c r="AX90" t="str">
        <f>"専用"</f>
        <v>専用</v>
      </c>
      <c r="AY90" t="str">
        <f>"01"</f>
        <v>01</v>
      </c>
      <c r="AZ90" t="str">
        <f>"後補充"</f>
        <v>後補充</v>
      </c>
      <c r="BA90" t="str">
        <f>""</f>
        <v/>
      </c>
      <c r="BB90" t="str">
        <f>"ＡＷ１３１フタナシ"</f>
        <v>ＡＷ１３１フタナシ</v>
      </c>
      <c r="BC90" t="str">
        <f>" 165.000"</f>
        <v xml:space="preserve"> 165.000</v>
      </c>
      <c r="BD90" t="str">
        <f t="shared" si="111"/>
        <v xml:space="preserve"> 335.000</v>
      </c>
      <c r="BE90" t="str">
        <f t="shared" si="112"/>
        <v xml:space="preserve"> 105.000</v>
      </c>
      <c r="BF90" t="str">
        <f>"   0.006"</f>
        <v xml:space="preserve">   0.006</v>
      </c>
      <c r="BG90" t="str">
        <f>"  10.420"</f>
        <v xml:space="preserve">  10.420</v>
      </c>
      <c r="BH90" t="str">
        <f t="shared" si="93"/>
        <v>しない</v>
      </c>
      <c r="BI90" t="str">
        <f>""</f>
        <v/>
      </c>
      <c r="BJ90" t="str">
        <f t="shared" si="94"/>
        <v>MASTER01</v>
      </c>
      <c r="BK90" t="str">
        <f>"2022/04/19"</f>
        <v>2022/04/19</v>
      </c>
      <c r="BL90" t="str">
        <f t="shared" si="95"/>
        <v>NE00</v>
      </c>
      <c r="BM90" t="str">
        <f t="shared" si="96"/>
        <v>１工工務Ｇ</v>
      </c>
      <c r="BN90" t="str">
        <f t="shared" si="97"/>
        <v>46548</v>
      </c>
      <c r="BO90" t="str">
        <f t="shared" si="98"/>
        <v>長畑　玲奈</v>
      </c>
    </row>
    <row r="91" spans="1:67">
      <c r="A91" t="s">
        <v>189</v>
      </c>
      <c r="B91" t="str">
        <f>""</f>
        <v/>
      </c>
      <c r="C91" t="str">
        <f>""</f>
        <v/>
      </c>
      <c r="D91" t="s">
        <v>45</v>
      </c>
      <c r="E91" t="str">
        <f t="shared" si="69"/>
        <v>1Y</v>
      </c>
      <c r="F91" t="str">
        <f t="shared" si="70"/>
        <v>第１工場</v>
      </c>
      <c r="G91" t="str">
        <f t="shared" si="71"/>
        <v>手配</v>
      </c>
      <c r="H91" t="str">
        <f t="shared" si="72"/>
        <v>Ｐ</v>
      </c>
      <c r="I91" t="str">
        <f t="shared" si="105"/>
        <v>2020</v>
      </c>
      <c r="J91" t="str">
        <f t="shared" si="106"/>
        <v>サトープレス工業（株）</v>
      </c>
      <c r="K91" t="str">
        <f t="shared" si="107"/>
        <v>01</v>
      </c>
      <c r="L91" t="str">
        <f t="shared" si="108"/>
        <v>本社工場</v>
      </c>
      <c r="M91" t="str">
        <f t="shared" si="104"/>
        <v>――</v>
      </c>
      <c r="N91" t="str">
        <f t="shared" si="104"/>
        <v>――</v>
      </c>
      <c r="O91" t="str">
        <f t="shared" si="77"/>
        <v>Ｍ</v>
      </c>
      <c r="P91" t="str">
        <f t="shared" si="78"/>
        <v>01</v>
      </c>
      <c r="Q91" t="str">
        <f t="shared" si="79"/>
        <v>第１</v>
      </c>
      <c r="R91" t="str">
        <f t="shared" si="80"/>
        <v>1Y</v>
      </c>
      <c r="S91" t="str">
        <f t="shared" si="81"/>
        <v>安城第１工場</v>
      </c>
      <c r="T91" t="str">
        <f t="shared" si="82"/>
        <v>直接</v>
      </c>
      <c r="U91" t="str">
        <f>""</f>
        <v/>
      </c>
      <c r="V91" t="str">
        <f>""</f>
        <v/>
      </c>
      <c r="W91" t="str">
        <f>""</f>
        <v/>
      </c>
      <c r="X91">
        <v>1</v>
      </c>
      <c r="Y91">
        <v>1</v>
      </c>
      <c r="Z91">
        <v>1.78</v>
      </c>
      <c r="AA91">
        <v>1.03</v>
      </c>
      <c r="AB91">
        <v>3</v>
      </c>
      <c r="AC91">
        <v>1.03</v>
      </c>
      <c r="AD91">
        <v>1.03</v>
      </c>
      <c r="AE91">
        <v>1.1000000000000001</v>
      </c>
      <c r="AF91">
        <v>0.5</v>
      </c>
      <c r="AG91" t="str">
        <f t="shared" si="109"/>
        <v>025</v>
      </c>
      <c r="AH91" t="str">
        <f t="shared" si="110"/>
        <v>サトープレス工業（株）</v>
      </c>
      <c r="AI91" t="str">
        <f>"011"</f>
        <v>011</v>
      </c>
      <c r="AJ91" t="str">
        <f>""</f>
        <v/>
      </c>
      <c r="AK91" t="str">
        <f>""</f>
        <v/>
      </c>
      <c r="AL91" t="str">
        <f>"0066"</f>
        <v>0066</v>
      </c>
      <c r="AM91" t="str">
        <f>"ﾌﾞﾗｹｯﾄ"</f>
        <v>ﾌﾞﾗｹｯﾄ</v>
      </c>
      <c r="AN91" t="str">
        <f>"013"</f>
        <v>013</v>
      </c>
      <c r="AO91" t="str">
        <f>"TP-131 ｾﾝﾖｳ"</f>
        <v>TP-131 ｾﾝﾖｳ</v>
      </c>
      <c r="AP91">
        <v>40</v>
      </c>
      <c r="AQ91" t="str">
        <f>""</f>
        <v/>
      </c>
      <c r="AR91" t="str">
        <f>""</f>
        <v/>
      </c>
      <c r="AS91" t="str">
        <f>""</f>
        <v/>
      </c>
      <c r="AT91" t="str">
        <f t="shared" si="87"/>
        <v>00</v>
      </c>
      <c r="AU91">
        <v>0.5</v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"ＴＰ３３１フタナシ"</f>
        <v>ＴＰ３３１フタナシ</v>
      </c>
      <c r="BC91" t="str">
        <f>" 168.000"</f>
        <v xml:space="preserve"> 168.000</v>
      </c>
      <c r="BD91" t="str">
        <f t="shared" si="111"/>
        <v xml:space="preserve"> 335.000</v>
      </c>
      <c r="BE91" t="str">
        <f t="shared" si="112"/>
        <v xml:space="preserve"> 105.000</v>
      </c>
      <c r="BF91" t="str">
        <f>"   0.006"</f>
        <v xml:space="preserve">   0.006</v>
      </c>
      <c r="BG91" t="str">
        <f>"   2.470"</f>
        <v xml:space="preserve">   2.470</v>
      </c>
      <c r="BH91" t="str">
        <f t="shared" si="93"/>
        <v>しない</v>
      </c>
      <c r="BI91" t="str">
        <f>""</f>
        <v/>
      </c>
      <c r="BJ91" t="str">
        <f t="shared" si="94"/>
        <v>MASTER01</v>
      </c>
      <c r="BK91" t="str">
        <f>"2023/01/17"</f>
        <v>2023/01/17</v>
      </c>
      <c r="BL91" t="str">
        <f t="shared" si="95"/>
        <v>NE00</v>
      </c>
      <c r="BM91" t="str">
        <f t="shared" si="96"/>
        <v>１工工務Ｇ</v>
      </c>
      <c r="BN91" t="str">
        <f t="shared" si="97"/>
        <v>46548</v>
      </c>
      <c r="BO91" t="str">
        <f t="shared" si="98"/>
        <v>長畑　玲奈</v>
      </c>
    </row>
    <row r="92" spans="1:67">
      <c r="A92" t="s">
        <v>697</v>
      </c>
      <c r="B92" t="str">
        <f>""</f>
        <v/>
      </c>
      <c r="C92" t="str">
        <f>""</f>
        <v/>
      </c>
      <c r="D92" t="s">
        <v>698</v>
      </c>
      <c r="E92" t="str">
        <f t="shared" si="69"/>
        <v>1Y</v>
      </c>
      <c r="F92" t="str">
        <f t="shared" si="70"/>
        <v>第１工場</v>
      </c>
      <c r="G92" t="str">
        <f t="shared" si="71"/>
        <v>手配</v>
      </c>
      <c r="H92" t="str">
        <f t="shared" si="72"/>
        <v>Ｐ</v>
      </c>
      <c r="I92" t="str">
        <f t="shared" si="105"/>
        <v>2020</v>
      </c>
      <c r="J92" t="str">
        <f t="shared" si="106"/>
        <v>サトープレス工業（株）</v>
      </c>
      <c r="K92" t="str">
        <f t="shared" si="107"/>
        <v>01</v>
      </c>
      <c r="L92" t="str">
        <f t="shared" si="108"/>
        <v>本社工場</v>
      </c>
      <c r="M92" t="str">
        <f t="shared" si="104"/>
        <v>――</v>
      </c>
      <c r="N92" t="str">
        <f t="shared" si="104"/>
        <v>――</v>
      </c>
      <c r="O92" t="str">
        <f t="shared" si="77"/>
        <v>Ｍ</v>
      </c>
      <c r="P92" t="str">
        <f t="shared" si="78"/>
        <v>01</v>
      </c>
      <c r="Q92" t="str">
        <f t="shared" si="79"/>
        <v>第１</v>
      </c>
      <c r="R92" t="str">
        <f t="shared" si="80"/>
        <v>1Y</v>
      </c>
      <c r="S92" t="str">
        <f t="shared" si="81"/>
        <v>安城第１工場</v>
      </c>
      <c r="T92" t="str">
        <f t="shared" si="82"/>
        <v>直接</v>
      </c>
      <c r="U92" t="str">
        <f>""</f>
        <v/>
      </c>
      <c r="V92" t="str">
        <f>""</f>
        <v/>
      </c>
      <c r="W92" t="str">
        <f>""</f>
        <v/>
      </c>
      <c r="X92">
        <v>1</v>
      </c>
      <c r="Y92">
        <v>1</v>
      </c>
      <c r="Z92">
        <v>1.78</v>
      </c>
      <c r="AA92">
        <v>1.03</v>
      </c>
      <c r="AB92">
        <v>3</v>
      </c>
      <c r="AC92">
        <v>1.03</v>
      </c>
      <c r="AD92">
        <v>1.03</v>
      </c>
      <c r="AE92">
        <v>1.1000000000000001</v>
      </c>
      <c r="AF92">
        <v>0.5</v>
      </c>
      <c r="AG92" t="str">
        <f t="shared" si="109"/>
        <v>025</v>
      </c>
      <c r="AH92" t="str">
        <f t="shared" si="110"/>
        <v>サトープレス工業（株）</v>
      </c>
      <c r="AI92" t="str">
        <f>"002"</f>
        <v>002</v>
      </c>
      <c r="AJ92" t="str">
        <f>"S-TA-2-19"</f>
        <v>S-TA-2-19</v>
      </c>
      <c r="AK92" t="str">
        <f>"20432"</f>
        <v>20432</v>
      </c>
      <c r="AL92" t="str">
        <f>"0066"</f>
        <v>0066</v>
      </c>
      <c r="AM92" t="str">
        <f>"ﾌﾞﾗｹｯﾄ"</f>
        <v>ﾌﾞﾗｹｯﾄ</v>
      </c>
      <c r="AN92" t="str">
        <f>"013"</f>
        <v>013</v>
      </c>
      <c r="AO92" t="str">
        <f>"TP-131 ｾﾝﾖｳ"</f>
        <v>TP-131 ｾﾝﾖｳ</v>
      </c>
      <c r="AP92">
        <v>40</v>
      </c>
      <c r="AQ92" t="str">
        <f>""</f>
        <v/>
      </c>
      <c r="AR92" t="str">
        <f>""</f>
        <v/>
      </c>
      <c r="AS92" t="str">
        <f>""</f>
        <v/>
      </c>
      <c r="AT92" t="str">
        <f t="shared" si="87"/>
        <v>00</v>
      </c>
      <c r="AU92">
        <v>0.5</v>
      </c>
      <c r="AV92" t="str">
        <f>""</f>
        <v/>
      </c>
      <c r="AW92" t="str">
        <f>"08"</f>
        <v>08</v>
      </c>
      <c r="AX92" t="str">
        <f>"専用"</f>
        <v>専用</v>
      </c>
      <c r="AY92" t="str">
        <f>"01"</f>
        <v>01</v>
      </c>
      <c r="AZ92" t="str">
        <f>"後補充"</f>
        <v>後補充</v>
      </c>
      <c r="BA92" t="str">
        <f>""</f>
        <v/>
      </c>
      <c r="BB92" t="str">
        <f>"ＴＰ３３１フタナシ"</f>
        <v>ＴＰ３３１フタナシ</v>
      </c>
      <c r="BC92" t="str">
        <f>" 335.000"</f>
        <v xml:space="preserve"> 335.000</v>
      </c>
      <c r="BD92" t="str">
        <f t="shared" si="111"/>
        <v xml:space="preserve"> 335.000</v>
      </c>
      <c r="BE92" t="str">
        <f t="shared" si="112"/>
        <v xml:space="preserve"> 105.000</v>
      </c>
      <c r="BF92" t="str">
        <f>"   0.012"</f>
        <v xml:space="preserve">   0.012</v>
      </c>
      <c r="BG92" t="str">
        <f>"   2.470"</f>
        <v xml:space="preserve">   2.470</v>
      </c>
      <c r="BH92" t="str">
        <f t="shared" si="93"/>
        <v>しない</v>
      </c>
      <c r="BI92" t="str">
        <f>""</f>
        <v/>
      </c>
      <c r="BJ92" t="str">
        <f t="shared" si="94"/>
        <v>MASTER01</v>
      </c>
      <c r="BK92" t="str">
        <f>"2022/04/19"</f>
        <v>2022/04/19</v>
      </c>
      <c r="BL92" t="str">
        <f t="shared" si="95"/>
        <v>NE00</v>
      </c>
      <c r="BM92" t="str">
        <f t="shared" si="96"/>
        <v>１工工務Ｇ</v>
      </c>
      <c r="BN92" t="str">
        <f t="shared" si="97"/>
        <v>46548</v>
      </c>
      <c r="BO92" t="str">
        <f t="shared" si="98"/>
        <v>長畑　玲奈</v>
      </c>
    </row>
    <row r="93" spans="1:67">
      <c r="A93" t="s">
        <v>636</v>
      </c>
      <c r="B93" t="str">
        <f>""</f>
        <v/>
      </c>
      <c r="C93" t="str">
        <f>""</f>
        <v/>
      </c>
      <c r="D93" t="s">
        <v>46</v>
      </c>
      <c r="E93" t="str">
        <f t="shared" si="69"/>
        <v>1Y</v>
      </c>
      <c r="F93" t="str">
        <f t="shared" si="70"/>
        <v>第１工場</v>
      </c>
      <c r="G93" t="str">
        <f t="shared" si="71"/>
        <v>手配</v>
      </c>
      <c r="H93" t="str">
        <f t="shared" si="72"/>
        <v>Ｐ</v>
      </c>
      <c r="I93" t="str">
        <f t="shared" si="105"/>
        <v>2020</v>
      </c>
      <c r="J93" t="str">
        <f t="shared" si="106"/>
        <v>サトープレス工業（株）</v>
      </c>
      <c r="K93" t="str">
        <f t="shared" si="107"/>
        <v>01</v>
      </c>
      <c r="L93" t="str">
        <f t="shared" si="108"/>
        <v>本社工場</v>
      </c>
      <c r="M93" t="str">
        <f t="shared" si="104"/>
        <v>――</v>
      </c>
      <c r="N93" t="str">
        <f t="shared" si="104"/>
        <v>――</v>
      </c>
      <c r="O93" t="str">
        <f t="shared" si="77"/>
        <v>Ｍ</v>
      </c>
      <c r="P93" t="str">
        <f t="shared" si="78"/>
        <v>01</v>
      </c>
      <c r="Q93" t="str">
        <f t="shared" si="79"/>
        <v>第１</v>
      </c>
      <c r="R93" t="str">
        <f t="shared" si="80"/>
        <v>1Y</v>
      </c>
      <c r="S93" t="str">
        <f t="shared" si="81"/>
        <v>安城第１工場</v>
      </c>
      <c r="T93" t="str">
        <f t="shared" si="82"/>
        <v>直接</v>
      </c>
      <c r="U93" t="str">
        <f>""</f>
        <v/>
      </c>
      <c r="V93" t="str">
        <f>""</f>
        <v/>
      </c>
      <c r="W93" t="str">
        <f>""</f>
        <v/>
      </c>
      <c r="X93">
        <v>1</v>
      </c>
      <c r="Y93">
        <v>1</v>
      </c>
      <c r="Z93">
        <v>1.78</v>
      </c>
      <c r="AA93">
        <v>1.03</v>
      </c>
      <c r="AB93">
        <v>3</v>
      </c>
      <c r="AC93">
        <v>1.03</v>
      </c>
      <c r="AD93">
        <v>1.03</v>
      </c>
      <c r="AE93">
        <v>1.1000000000000001</v>
      </c>
      <c r="AF93">
        <v>0.5</v>
      </c>
      <c r="AG93" t="str">
        <f t="shared" si="109"/>
        <v>025</v>
      </c>
      <c r="AH93" t="str">
        <f t="shared" si="110"/>
        <v>サトープレス工業（株）</v>
      </c>
      <c r="AI93" t="str">
        <f>"003"</f>
        <v>003</v>
      </c>
      <c r="AJ93" t="str">
        <f>"M-MG-8"</f>
        <v>M-MG-8</v>
      </c>
      <c r="AK93" t="str">
        <f>"10430"</f>
        <v>10430</v>
      </c>
      <c r="AL93" t="str">
        <f>"0561"</f>
        <v>0561</v>
      </c>
      <c r="AM93" t="str">
        <f>"ｸﾗﾝﾌﾟﾁﾕ-ﾌﾞ"</f>
        <v>ｸﾗﾝﾌﾟﾁﾕ-ﾌﾞ</v>
      </c>
      <c r="AN93" t="str">
        <f>"051"</f>
        <v>051</v>
      </c>
      <c r="AO93" t="str">
        <f>"AW-131 ｾﾝﾖｳ"</f>
        <v>AW-131 ｾﾝﾖｳ</v>
      </c>
      <c r="AP93">
        <v>300</v>
      </c>
      <c r="AQ93" t="str">
        <f>""</f>
        <v/>
      </c>
      <c r="AR93" t="str">
        <f>""</f>
        <v/>
      </c>
      <c r="AS93" t="str">
        <f>""</f>
        <v/>
      </c>
      <c r="AT93" t="str">
        <f t="shared" si="87"/>
        <v>00</v>
      </c>
      <c r="AU93">
        <v>0.5</v>
      </c>
      <c r="AV93" t="str">
        <f>""</f>
        <v/>
      </c>
      <c r="AW93" t="str">
        <f>"08"</f>
        <v>08</v>
      </c>
      <c r="AX93" t="str">
        <f>"専用"</f>
        <v>専用</v>
      </c>
      <c r="AY93" t="str">
        <f>"01"</f>
        <v>01</v>
      </c>
      <c r="AZ93" t="str">
        <f>"後補充"</f>
        <v>後補充</v>
      </c>
      <c r="BA93" t="str">
        <f>""</f>
        <v/>
      </c>
      <c r="BB93" t="str">
        <f t="shared" ref="BB93:BB98" si="113">"ＡＷ１３１フタナシ"</f>
        <v>ＡＷ１３１フタナシ</v>
      </c>
      <c r="BC93" t="str">
        <f t="shared" ref="BC93:BC98" si="114">" 165.000"</f>
        <v xml:space="preserve"> 165.000</v>
      </c>
      <c r="BD93" t="str">
        <f t="shared" si="111"/>
        <v xml:space="preserve"> 335.000</v>
      </c>
      <c r="BE93" t="str">
        <f t="shared" si="112"/>
        <v xml:space="preserve"> 105.000</v>
      </c>
      <c r="BF93" t="str">
        <f t="shared" ref="BF93:BF103" si="115">"   0.006"</f>
        <v xml:space="preserve">   0.006</v>
      </c>
      <c r="BG93" t="str">
        <f>"   1.545"</f>
        <v xml:space="preserve">   1.545</v>
      </c>
      <c r="BH93" t="str">
        <f t="shared" si="93"/>
        <v>しない</v>
      </c>
      <c r="BI93" t="str">
        <f>""</f>
        <v/>
      </c>
      <c r="BJ93" t="str">
        <f t="shared" si="94"/>
        <v>MASTER01</v>
      </c>
      <c r="BK93" t="str">
        <f>"2022/04/19"</f>
        <v>2022/04/19</v>
      </c>
      <c r="BL93" t="str">
        <f t="shared" si="95"/>
        <v>NE00</v>
      </c>
      <c r="BM93" t="str">
        <f t="shared" si="96"/>
        <v>１工工務Ｇ</v>
      </c>
      <c r="BN93" t="str">
        <f t="shared" si="97"/>
        <v>46548</v>
      </c>
      <c r="BO93" t="str">
        <f t="shared" si="98"/>
        <v>長畑　玲奈</v>
      </c>
    </row>
    <row r="94" spans="1:67">
      <c r="A94" t="s">
        <v>190</v>
      </c>
      <c r="B94" t="str">
        <f>""</f>
        <v/>
      </c>
      <c r="C94" t="str">
        <f>""</f>
        <v/>
      </c>
      <c r="D94" t="s">
        <v>42</v>
      </c>
      <c r="E94" t="str">
        <f t="shared" si="69"/>
        <v>1Y</v>
      </c>
      <c r="F94" t="str">
        <f t="shared" si="70"/>
        <v>第１工場</v>
      </c>
      <c r="G94" t="str">
        <f t="shared" si="71"/>
        <v>手配</v>
      </c>
      <c r="H94" t="str">
        <f t="shared" si="72"/>
        <v>Ｐ</v>
      </c>
      <c r="I94" t="str">
        <f t="shared" si="105"/>
        <v>2020</v>
      </c>
      <c r="J94" t="str">
        <f t="shared" si="106"/>
        <v>サトープレス工業（株）</v>
      </c>
      <c r="K94" t="str">
        <f t="shared" si="107"/>
        <v>01</v>
      </c>
      <c r="L94" t="str">
        <f t="shared" si="108"/>
        <v>本社工場</v>
      </c>
      <c r="M94" t="str">
        <f t="shared" si="104"/>
        <v>――</v>
      </c>
      <c r="N94" t="str">
        <f t="shared" si="104"/>
        <v>――</v>
      </c>
      <c r="O94" t="str">
        <f t="shared" si="77"/>
        <v>Ｍ</v>
      </c>
      <c r="P94" t="str">
        <f t="shared" si="78"/>
        <v>01</v>
      </c>
      <c r="Q94" t="str">
        <f t="shared" si="79"/>
        <v>第１</v>
      </c>
      <c r="R94" t="str">
        <f t="shared" si="80"/>
        <v>1Y</v>
      </c>
      <c r="S94" t="str">
        <f t="shared" si="81"/>
        <v>安城第１工場</v>
      </c>
      <c r="T94" t="str">
        <f t="shared" si="82"/>
        <v>直接</v>
      </c>
      <c r="U94" t="str">
        <f>""</f>
        <v/>
      </c>
      <c r="V94" t="str">
        <f>""</f>
        <v/>
      </c>
      <c r="W94" t="str">
        <f>""</f>
        <v/>
      </c>
      <c r="X94">
        <v>1</v>
      </c>
      <c r="Y94">
        <v>1</v>
      </c>
      <c r="Z94">
        <v>1.78</v>
      </c>
      <c r="AA94">
        <v>1.03</v>
      </c>
      <c r="AB94">
        <v>3</v>
      </c>
      <c r="AC94">
        <v>1.03</v>
      </c>
      <c r="AD94">
        <v>1.03</v>
      </c>
      <c r="AE94">
        <v>1.1000000000000001</v>
      </c>
      <c r="AF94">
        <v>0.5</v>
      </c>
      <c r="AG94" t="str">
        <f t="shared" si="109"/>
        <v>025</v>
      </c>
      <c r="AH94" t="str">
        <f t="shared" si="110"/>
        <v>サトープレス工業（株）</v>
      </c>
      <c r="AI94" t="str">
        <f>"004"</f>
        <v>004</v>
      </c>
      <c r="AJ94" t="str">
        <f>"M-MG-1"</f>
        <v>M-MG-1</v>
      </c>
      <c r="AK94" t="str">
        <f>"10435"</f>
        <v>10435</v>
      </c>
      <c r="AL94" t="str">
        <f>"0525"</f>
        <v>0525</v>
      </c>
      <c r="AM94" t="str">
        <f>"ﾌﾟﾗｸﾞﾀｲﾄ"</f>
        <v>ﾌﾟﾗｸﾞﾀｲﾄ</v>
      </c>
      <c r="AN94" t="str">
        <f>"051"</f>
        <v>051</v>
      </c>
      <c r="AO94" t="str">
        <f>"AW-131 ｾﾝﾖｳ"</f>
        <v>AW-131 ｾﾝﾖｳ</v>
      </c>
      <c r="AP94">
        <v>5000</v>
      </c>
      <c r="AQ94" t="str">
        <f>""</f>
        <v/>
      </c>
      <c r="AR94" t="str">
        <f>""</f>
        <v/>
      </c>
      <c r="AS94" t="str">
        <f>""</f>
        <v/>
      </c>
      <c r="AT94" t="str">
        <f t="shared" si="87"/>
        <v>00</v>
      </c>
      <c r="AU94">
        <v>0.5</v>
      </c>
      <c r="AV94" t="str">
        <f>""</f>
        <v/>
      </c>
      <c r="AW94" t="str">
        <f>"08"</f>
        <v>08</v>
      </c>
      <c r="AX94" t="str">
        <f>"専用"</f>
        <v>専用</v>
      </c>
      <c r="AY94" t="str">
        <f>"01"</f>
        <v>01</v>
      </c>
      <c r="AZ94" t="str">
        <f>"後補充"</f>
        <v>後補充</v>
      </c>
      <c r="BA94" t="str">
        <f>""</f>
        <v/>
      </c>
      <c r="BB94" t="str">
        <f t="shared" si="113"/>
        <v>ＡＷ１３１フタナシ</v>
      </c>
      <c r="BC94" t="str">
        <f t="shared" si="114"/>
        <v xml:space="preserve"> 165.000</v>
      </c>
      <c r="BD94" t="str">
        <f t="shared" si="111"/>
        <v xml:space="preserve"> 335.000</v>
      </c>
      <c r="BE94" t="str">
        <f t="shared" si="112"/>
        <v xml:space="preserve"> 105.000</v>
      </c>
      <c r="BF94" t="str">
        <f t="shared" si="115"/>
        <v xml:space="preserve">   0.006</v>
      </c>
      <c r="BG94" t="str">
        <f>"   2.420"</f>
        <v xml:space="preserve">   2.420</v>
      </c>
      <c r="BH94" t="str">
        <f t="shared" si="93"/>
        <v>しない</v>
      </c>
      <c r="BI94" t="str">
        <f>""</f>
        <v/>
      </c>
      <c r="BJ94" t="str">
        <f t="shared" si="94"/>
        <v>MASTER01</v>
      </c>
      <c r="BK94" t="str">
        <f>"2022/04/19"</f>
        <v>2022/04/19</v>
      </c>
      <c r="BL94" t="str">
        <f t="shared" si="95"/>
        <v>NE00</v>
      </c>
      <c r="BM94" t="str">
        <f t="shared" si="96"/>
        <v>１工工務Ｇ</v>
      </c>
      <c r="BN94" t="str">
        <f t="shared" si="97"/>
        <v>46548</v>
      </c>
      <c r="BO94" t="str">
        <f t="shared" si="98"/>
        <v>長畑　玲奈</v>
      </c>
    </row>
    <row r="95" spans="1:67">
      <c r="A95" t="s">
        <v>191</v>
      </c>
      <c r="B95" t="str">
        <f>""</f>
        <v/>
      </c>
      <c r="C95" t="str">
        <f>""</f>
        <v/>
      </c>
      <c r="D95" t="s">
        <v>42</v>
      </c>
      <c r="E95" t="str">
        <f t="shared" si="69"/>
        <v>1Y</v>
      </c>
      <c r="F95" t="str">
        <f t="shared" si="70"/>
        <v>第１工場</v>
      </c>
      <c r="G95" t="str">
        <f t="shared" si="71"/>
        <v>手配</v>
      </c>
      <c r="H95" t="str">
        <f t="shared" si="72"/>
        <v>Ｐ</v>
      </c>
      <c r="I95" t="str">
        <f t="shared" si="105"/>
        <v>2020</v>
      </c>
      <c r="J95" t="str">
        <f t="shared" si="106"/>
        <v>サトープレス工業（株）</v>
      </c>
      <c r="K95" t="str">
        <f t="shared" si="107"/>
        <v>01</v>
      </c>
      <c r="L95" t="str">
        <f t="shared" si="108"/>
        <v>本社工場</v>
      </c>
      <c r="M95" t="str">
        <f t="shared" si="104"/>
        <v>――</v>
      </c>
      <c r="N95" t="str">
        <f t="shared" si="104"/>
        <v>――</v>
      </c>
      <c r="O95" t="str">
        <f t="shared" si="77"/>
        <v>Ｍ</v>
      </c>
      <c r="P95" t="str">
        <f t="shared" si="78"/>
        <v>01</v>
      </c>
      <c r="Q95" t="str">
        <f t="shared" si="79"/>
        <v>第１</v>
      </c>
      <c r="R95" t="str">
        <f t="shared" si="80"/>
        <v>1Y</v>
      </c>
      <c r="S95" t="str">
        <f t="shared" si="81"/>
        <v>安城第１工場</v>
      </c>
      <c r="T95" t="str">
        <f t="shared" si="82"/>
        <v>直接</v>
      </c>
      <c r="U95" t="str">
        <f>""</f>
        <v/>
      </c>
      <c r="V95" t="str">
        <f>""</f>
        <v/>
      </c>
      <c r="W95" t="str">
        <f>""</f>
        <v/>
      </c>
      <c r="X95">
        <v>1</v>
      </c>
      <c r="Y95">
        <v>1</v>
      </c>
      <c r="Z95">
        <v>1.78</v>
      </c>
      <c r="AA95">
        <v>1.03</v>
      </c>
      <c r="AB95">
        <v>3</v>
      </c>
      <c r="AC95">
        <v>1.03</v>
      </c>
      <c r="AD95">
        <v>1.03</v>
      </c>
      <c r="AE95">
        <v>1.1000000000000001</v>
      </c>
      <c r="AF95">
        <v>0.5</v>
      </c>
      <c r="AG95" t="str">
        <f t="shared" si="109"/>
        <v>025</v>
      </c>
      <c r="AH95" t="str">
        <f t="shared" si="110"/>
        <v>サトープレス工業（株）</v>
      </c>
      <c r="AI95" t="str">
        <f>"012"</f>
        <v>012</v>
      </c>
      <c r="AJ95" t="str">
        <f>""</f>
        <v/>
      </c>
      <c r="AK95" t="str">
        <f>""</f>
        <v/>
      </c>
      <c r="AL95" t="str">
        <f>"0525"</f>
        <v>0525</v>
      </c>
      <c r="AM95" t="str">
        <f>"ﾌﾟﾗｸﾞ ﾀｲﾄ"</f>
        <v>ﾌﾟﾗｸﾞ ﾀｲﾄ</v>
      </c>
      <c r="AN95" t="str">
        <f>"012"</f>
        <v>012</v>
      </c>
      <c r="AO95" t="str">
        <f>"TP-131 ﾊﾝﾖｳ"</f>
        <v>TP-131 ﾊﾝﾖｳ</v>
      </c>
      <c r="AP95">
        <v>500</v>
      </c>
      <c r="AQ95" t="str">
        <f>""</f>
        <v/>
      </c>
      <c r="AR95" t="str">
        <f>""</f>
        <v/>
      </c>
      <c r="AS95" t="str">
        <f>""</f>
        <v/>
      </c>
      <c r="AT95" t="str">
        <f t="shared" si="87"/>
        <v>00</v>
      </c>
      <c r="AU95">
        <v>0.5</v>
      </c>
      <c r="AV95" t="str">
        <f>""</f>
        <v/>
      </c>
      <c r="AW95" t="str">
        <f>""</f>
        <v/>
      </c>
      <c r="AX95" t="str">
        <f>""</f>
        <v/>
      </c>
      <c r="AY95" t="str">
        <f>""</f>
        <v/>
      </c>
      <c r="AZ95" t="str">
        <f>""</f>
        <v/>
      </c>
      <c r="BA95" t="str">
        <f>""</f>
        <v/>
      </c>
      <c r="BB95" t="str">
        <f t="shared" si="113"/>
        <v>ＡＷ１３１フタナシ</v>
      </c>
      <c r="BC95" t="str">
        <f t="shared" si="114"/>
        <v xml:space="preserve"> 165.000</v>
      </c>
      <c r="BD95" t="str">
        <f t="shared" si="111"/>
        <v xml:space="preserve"> 335.000</v>
      </c>
      <c r="BE95" t="str">
        <f t="shared" si="112"/>
        <v xml:space="preserve"> 105.000</v>
      </c>
      <c r="BF95" t="str">
        <f t="shared" si="115"/>
        <v xml:space="preserve">   0.006</v>
      </c>
      <c r="BG95" t="str">
        <f>"   1.400"</f>
        <v xml:space="preserve">   1.400</v>
      </c>
      <c r="BH95" t="str">
        <f t="shared" si="93"/>
        <v>しない</v>
      </c>
      <c r="BI95" t="str">
        <f>""</f>
        <v/>
      </c>
      <c r="BJ95" t="str">
        <f t="shared" si="94"/>
        <v>MASTER01</v>
      </c>
      <c r="BK95" t="str">
        <f>"2023/01/17"</f>
        <v>2023/01/17</v>
      </c>
      <c r="BL95" t="str">
        <f t="shared" si="95"/>
        <v>NE00</v>
      </c>
      <c r="BM95" t="str">
        <f t="shared" si="96"/>
        <v>１工工務Ｇ</v>
      </c>
      <c r="BN95" t="str">
        <f t="shared" si="97"/>
        <v>46548</v>
      </c>
      <c r="BO95" t="str">
        <f t="shared" si="98"/>
        <v>長畑　玲奈</v>
      </c>
    </row>
    <row r="96" spans="1:67">
      <c r="A96" t="s">
        <v>192</v>
      </c>
      <c r="B96" t="str">
        <f>""</f>
        <v/>
      </c>
      <c r="C96" t="str">
        <f>""</f>
        <v/>
      </c>
      <c r="D96" t="s">
        <v>42</v>
      </c>
      <c r="E96" t="str">
        <f t="shared" si="69"/>
        <v>1Y</v>
      </c>
      <c r="F96" t="str">
        <f t="shared" si="70"/>
        <v>第１工場</v>
      </c>
      <c r="G96" t="str">
        <f t="shared" si="71"/>
        <v>手配</v>
      </c>
      <c r="H96" t="str">
        <f t="shared" si="72"/>
        <v>Ｐ</v>
      </c>
      <c r="I96" t="str">
        <f t="shared" si="105"/>
        <v>2020</v>
      </c>
      <c r="J96" t="str">
        <f t="shared" si="106"/>
        <v>サトープレス工業（株）</v>
      </c>
      <c r="K96" t="str">
        <f t="shared" si="107"/>
        <v>01</v>
      </c>
      <c r="L96" t="str">
        <f t="shared" si="108"/>
        <v>本社工場</v>
      </c>
      <c r="M96" t="str">
        <f t="shared" si="104"/>
        <v>――</v>
      </c>
      <c r="N96" t="str">
        <f t="shared" si="104"/>
        <v>――</v>
      </c>
      <c r="O96" t="str">
        <f t="shared" si="77"/>
        <v>Ｍ</v>
      </c>
      <c r="P96" t="str">
        <f t="shared" si="78"/>
        <v>01</v>
      </c>
      <c r="Q96" t="str">
        <f t="shared" si="79"/>
        <v>第１</v>
      </c>
      <c r="R96" t="str">
        <f t="shared" si="80"/>
        <v>1Y</v>
      </c>
      <c r="S96" t="str">
        <f t="shared" si="81"/>
        <v>安城第１工場</v>
      </c>
      <c r="T96" t="str">
        <f t="shared" si="82"/>
        <v>直接</v>
      </c>
      <c r="U96" t="str">
        <f>""</f>
        <v/>
      </c>
      <c r="V96" t="str">
        <f>""</f>
        <v/>
      </c>
      <c r="W96" t="str">
        <f>""</f>
        <v/>
      </c>
      <c r="X96">
        <v>1</v>
      </c>
      <c r="Y96">
        <v>1</v>
      </c>
      <c r="Z96">
        <v>1.78</v>
      </c>
      <c r="AA96">
        <v>1.03</v>
      </c>
      <c r="AB96">
        <v>3</v>
      </c>
      <c r="AC96">
        <v>1.03</v>
      </c>
      <c r="AD96">
        <v>1.03</v>
      </c>
      <c r="AE96">
        <v>1.1000000000000001</v>
      </c>
      <c r="AF96">
        <v>0.5</v>
      </c>
      <c r="AG96" t="str">
        <f t="shared" si="109"/>
        <v>025</v>
      </c>
      <c r="AH96" t="str">
        <f t="shared" si="110"/>
        <v>サトープレス工業（株）</v>
      </c>
      <c r="AI96" t="str">
        <f>"009"</f>
        <v>009</v>
      </c>
      <c r="AJ96" t="str">
        <f>""</f>
        <v/>
      </c>
      <c r="AK96" t="str">
        <f>""</f>
        <v/>
      </c>
      <c r="AL96" t="str">
        <f>"0525"</f>
        <v>0525</v>
      </c>
      <c r="AM96" t="str">
        <f>"ﾌﾟﾗｸﾞ ﾀｲﾄ"</f>
        <v>ﾌﾟﾗｸﾞ ﾀｲﾄ</v>
      </c>
      <c r="AN96" t="str">
        <f>"014"</f>
        <v>014</v>
      </c>
      <c r="AO96" t="str">
        <f>"TP-331 ﾊﾝﾖｳ"</f>
        <v>TP-331 ﾊﾝﾖｳ</v>
      </c>
      <c r="AP96">
        <v>500</v>
      </c>
      <c r="AQ96" t="str">
        <f>""</f>
        <v/>
      </c>
      <c r="AR96" t="str">
        <f>""</f>
        <v/>
      </c>
      <c r="AS96" t="str">
        <f>""</f>
        <v/>
      </c>
      <c r="AT96" t="str">
        <f t="shared" si="87"/>
        <v>00</v>
      </c>
      <c r="AU96">
        <v>0.5</v>
      </c>
      <c r="AV96" t="str">
        <f>""</f>
        <v/>
      </c>
      <c r="AW96" t="str">
        <f>""</f>
        <v/>
      </c>
      <c r="AX96" t="str">
        <f>""</f>
        <v/>
      </c>
      <c r="AY96" t="str">
        <f>""</f>
        <v/>
      </c>
      <c r="AZ96" t="str">
        <f>""</f>
        <v/>
      </c>
      <c r="BA96" t="str">
        <f>""</f>
        <v/>
      </c>
      <c r="BB96" t="str">
        <f t="shared" si="113"/>
        <v>ＡＷ１３１フタナシ</v>
      </c>
      <c r="BC96" t="str">
        <f t="shared" si="114"/>
        <v xml:space="preserve"> 165.000</v>
      </c>
      <c r="BD96" t="str">
        <f t="shared" si="111"/>
        <v xml:space="preserve"> 335.000</v>
      </c>
      <c r="BE96" t="str">
        <f t="shared" si="112"/>
        <v xml:space="preserve"> 105.000</v>
      </c>
      <c r="BF96" t="str">
        <f t="shared" si="115"/>
        <v xml:space="preserve">   0.006</v>
      </c>
      <c r="BG96" t="str">
        <f>" 267.000"</f>
        <v xml:space="preserve"> 267.000</v>
      </c>
      <c r="BH96" t="str">
        <f t="shared" si="93"/>
        <v>しない</v>
      </c>
      <c r="BI96" t="str">
        <f>""</f>
        <v/>
      </c>
      <c r="BJ96" t="str">
        <f t="shared" si="94"/>
        <v>MASTER01</v>
      </c>
      <c r="BK96" t="str">
        <f>"2023/01/17"</f>
        <v>2023/01/17</v>
      </c>
      <c r="BL96" t="str">
        <f t="shared" si="95"/>
        <v>NE00</v>
      </c>
      <c r="BM96" t="str">
        <f t="shared" si="96"/>
        <v>１工工務Ｇ</v>
      </c>
      <c r="BN96" t="str">
        <f t="shared" si="97"/>
        <v>46548</v>
      </c>
      <c r="BO96" t="str">
        <f t="shared" si="98"/>
        <v>長畑　玲奈</v>
      </c>
    </row>
    <row r="97" spans="1:67">
      <c r="A97" t="s">
        <v>193</v>
      </c>
      <c r="B97" t="str">
        <f>""</f>
        <v/>
      </c>
      <c r="C97" t="str">
        <f>""</f>
        <v/>
      </c>
      <c r="D97" t="str">
        <f>"CAP"</f>
        <v>CAP</v>
      </c>
      <c r="E97" t="str">
        <f t="shared" si="69"/>
        <v>1Y</v>
      </c>
      <c r="F97" t="str">
        <f t="shared" si="70"/>
        <v>第１工場</v>
      </c>
      <c r="G97" t="str">
        <f t="shared" si="71"/>
        <v>手配</v>
      </c>
      <c r="H97" t="str">
        <f t="shared" si="72"/>
        <v>Ｐ</v>
      </c>
      <c r="I97" t="str">
        <f t="shared" si="105"/>
        <v>2020</v>
      </c>
      <c r="J97" t="str">
        <f t="shared" si="106"/>
        <v>サトープレス工業（株）</v>
      </c>
      <c r="K97" t="str">
        <f t="shared" si="107"/>
        <v>01</v>
      </c>
      <c r="L97" t="str">
        <f t="shared" si="108"/>
        <v>本社工場</v>
      </c>
      <c r="M97" t="str">
        <f t="shared" si="104"/>
        <v>――</v>
      </c>
      <c r="N97" t="str">
        <f t="shared" si="104"/>
        <v>――</v>
      </c>
      <c r="O97" t="str">
        <f t="shared" si="77"/>
        <v>Ｍ</v>
      </c>
      <c r="P97" t="str">
        <f t="shared" si="78"/>
        <v>01</v>
      </c>
      <c r="Q97" t="str">
        <f t="shared" si="79"/>
        <v>第１</v>
      </c>
      <c r="R97" t="str">
        <f t="shared" si="80"/>
        <v>1Y</v>
      </c>
      <c r="S97" t="str">
        <f t="shared" si="81"/>
        <v>安城第１工場</v>
      </c>
      <c r="T97" t="str">
        <f t="shared" si="82"/>
        <v>直接</v>
      </c>
      <c r="U97" t="str">
        <f>""</f>
        <v/>
      </c>
      <c r="V97" t="str">
        <f>""</f>
        <v/>
      </c>
      <c r="W97" t="str">
        <f>""</f>
        <v/>
      </c>
      <c r="X97">
        <v>1</v>
      </c>
      <c r="Y97">
        <v>1</v>
      </c>
      <c r="Z97">
        <v>1.78</v>
      </c>
      <c r="AA97">
        <v>1.03</v>
      </c>
      <c r="AB97">
        <v>3</v>
      </c>
      <c r="AC97">
        <v>1.03</v>
      </c>
      <c r="AD97">
        <v>1.03</v>
      </c>
      <c r="AE97">
        <v>1.1000000000000001</v>
      </c>
      <c r="AF97">
        <v>0.5</v>
      </c>
      <c r="AG97" t="str">
        <f t="shared" si="109"/>
        <v>025</v>
      </c>
      <c r="AH97" t="str">
        <f t="shared" si="110"/>
        <v>サトープレス工業（株）</v>
      </c>
      <c r="AI97" t="str">
        <f>"005"</f>
        <v>005</v>
      </c>
      <c r="AJ97" t="str">
        <f>"M-C-2-7"</f>
        <v>M-C-2-7</v>
      </c>
      <c r="AK97" t="str">
        <f>"10436"</f>
        <v>10436</v>
      </c>
      <c r="AL97" t="str">
        <f>"0270"</f>
        <v>0270</v>
      </c>
      <c r="AM97" t="str">
        <f>"ｷﾔﾂﾌﾟ"</f>
        <v>ｷﾔﾂﾌﾟ</v>
      </c>
      <c r="AN97" t="str">
        <f>"051"</f>
        <v>051</v>
      </c>
      <c r="AO97" t="str">
        <f>"AW-131 ｾﾝﾖｳ"</f>
        <v>AW-131 ｾﾝﾖｳ</v>
      </c>
      <c r="AP97">
        <v>1000</v>
      </c>
      <c r="AQ97" t="str">
        <f>""</f>
        <v/>
      </c>
      <c r="AR97" t="str">
        <f>""</f>
        <v/>
      </c>
      <c r="AS97" t="str">
        <f>""</f>
        <v/>
      </c>
      <c r="AT97" t="str">
        <f t="shared" si="87"/>
        <v>00</v>
      </c>
      <c r="AU97">
        <v>0.5</v>
      </c>
      <c r="AV97" t="str">
        <f>""</f>
        <v/>
      </c>
      <c r="AW97" t="str">
        <f>"08"</f>
        <v>08</v>
      </c>
      <c r="AX97" t="str">
        <f>"専用"</f>
        <v>専用</v>
      </c>
      <c r="AY97" t="str">
        <f>"01"</f>
        <v>01</v>
      </c>
      <c r="AZ97" t="str">
        <f>"後補充"</f>
        <v>後補充</v>
      </c>
      <c r="BA97" t="str">
        <f>""</f>
        <v/>
      </c>
      <c r="BB97" t="str">
        <f t="shared" si="113"/>
        <v>ＡＷ１３１フタナシ</v>
      </c>
      <c r="BC97" t="str">
        <f t="shared" si="114"/>
        <v xml:space="preserve"> 165.000</v>
      </c>
      <c r="BD97" t="str">
        <f t="shared" si="111"/>
        <v xml:space="preserve"> 335.000</v>
      </c>
      <c r="BE97" t="str">
        <f t="shared" si="112"/>
        <v xml:space="preserve"> 105.000</v>
      </c>
      <c r="BF97" t="str">
        <f t="shared" si="115"/>
        <v xml:space="preserve">   0.006</v>
      </c>
      <c r="BG97" t="str">
        <f>"   0.970"</f>
        <v xml:space="preserve">   0.970</v>
      </c>
      <c r="BH97" t="str">
        <f t="shared" si="93"/>
        <v>しない</v>
      </c>
      <c r="BI97" t="str">
        <f>""</f>
        <v/>
      </c>
      <c r="BJ97" t="str">
        <f t="shared" si="94"/>
        <v>MASTER01</v>
      </c>
      <c r="BK97" t="str">
        <f>"2022/04/19"</f>
        <v>2022/04/19</v>
      </c>
      <c r="BL97" t="str">
        <f t="shared" si="95"/>
        <v>NE00</v>
      </c>
      <c r="BM97" t="str">
        <f t="shared" si="96"/>
        <v>１工工務Ｇ</v>
      </c>
      <c r="BN97" t="str">
        <f t="shared" si="97"/>
        <v>46548</v>
      </c>
      <c r="BO97" t="str">
        <f t="shared" si="98"/>
        <v>長畑　玲奈</v>
      </c>
    </row>
    <row r="98" spans="1:67">
      <c r="A98" t="s">
        <v>194</v>
      </c>
      <c r="B98" t="str">
        <f>""</f>
        <v/>
      </c>
      <c r="C98" t="str">
        <f>""</f>
        <v/>
      </c>
      <c r="D98" t="str">
        <f>"CAP"</f>
        <v>CAP</v>
      </c>
      <c r="E98" t="str">
        <f t="shared" si="69"/>
        <v>1Y</v>
      </c>
      <c r="F98" t="str">
        <f t="shared" si="70"/>
        <v>第１工場</v>
      </c>
      <c r="G98" t="str">
        <f t="shared" si="71"/>
        <v>手配</v>
      </c>
      <c r="H98" t="str">
        <f t="shared" si="72"/>
        <v>Ｐ</v>
      </c>
      <c r="I98" t="str">
        <f t="shared" si="105"/>
        <v>2020</v>
      </c>
      <c r="J98" t="str">
        <f t="shared" si="106"/>
        <v>サトープレス工業（株）</v>
      </c>
      <c r="K98" t="str">
        <f t="shared" si="107"/>
        <v>01</v>
      </c>
      <c r="L98" t="str">
        <f t="shared" si="108"/>
        <v>本社工場</v>
      </c>
      <c r="M98" t="str">
        <f t="shared" si="104"/>
        <v>――</v>
      </c>
      <c r="N98" t="str">
        <f t="shared" si="104"/>
        <v>――</v>
      </c>
      <c r="O98" t="str">
        <f t="shared" si="77"/>
        <v>Ｍ</v>
      </c>
      <c r="P98" t="str">
        <f t="shared" si="78"/>
        <v>01</v>
      </c>
      <c r="Q98" t="str">
        <f t="shared" si="79"/>
        <v>第１</v>
      </c>
      <c r="R98" t="str">
        <f t="shared" si="80"/>
        <v>1Y</v>
      </c>
      <c r="S98" t="str">
        <f t="shared" si="81"/>
        <v>安城第１工場</v>
      </c>
      <c r="T98" t="str">
        <f t="shared" si="82"/>
        <v>直接</v>
      </c>
      <c r="U98" t="str">
        <f>""</f>
        <v/>
      </c>
      <c r="V98" t="str">
        <f>""</f>
        <v/>
      </c>
      <c r="W98" t="str">
        <f>""</f>
        <v/>
      </c>
      <c r="X98">
        <v>1</v>
      </c>
      <c r="Y98">
        <v>1</v>
      </c>
      <c r="Z98">
        <v>1.78</v>
      </c>
      <c r="AA98">
        <v>1.03</v>
      </c>
      <c r="AB98">
        <v>3</v>
      </c>
      <c r="AC98">
        <v>1.03</v>
      </c>
      <c r="AD98">
        <v>1.03</v>
      </c>
      <c r="AE98">
        <v>1.1000000000000001</v>
      </c>
      <c r="AF98">
        <v>0.5</v>
      </c>
      <c r="AG98" t="str">
        <f t="shared" si="109"/>
        <v>025</v>
      </c>
      <c r="AH98" t="str">
        <f t="shared" si="110"/>
        <v>サトープレス工業（株）</v>
      </c>
      <c r="AI98" t="str">
        <f>"006"</f>
        <v>006</v>
      </c>
      <c r="AJ98" t="str">
        <f>"M-C-2-5"</f>
        <v>M-C-2-5</v>
      </c>
      <c r="AK98" t="str">
        <f>"10431"</f>
        <v>10431</v>
      </c>
      <c r="AL98" t="str">
        <f>"0270"</f>
        <v>0270</v>
      </c>
      <c r="AM98" t="str">
        <f>"ｷﾔﾂﾌﾟ"</f>
        <v>ｷﾔﾂﾌﾟ</v>
      </c>
      <c r="AN98" t="str">
        <f>"051"</f>
        <v>051</v>
      </c>
      <c r="AO98" t="str">
        <f>"AW-131 ｾﾝﾖｳ"</f>
        <v>AW-131 ｾﾝﾖｳ</v>
      </c>
      <c r="AP98">
        <v>2000</v>
      </c>
      <c r="AQ98" t="str">
        <f>""</f>
        <v/>
      </c>
      <c r="AR98" t="str">
        <f>""</f>
        <v/>
      </c>
      <c r="AS98" t="str">
        <f>""</f>
        <v/>
      </c>
      <c r="AT98" t="str">
        <f t="shared" si="87"/>
        <v>00</v>
      </c>
      <c r="AU98">
        <v>0.5</v>
      </c>
      <c r="AV98" t="str">
        <f>""</f>
        <v/>
      </c>
      <c r="AW98" t="str">
        <f>"08"</f>
        <v>08</v>
      </c>
      <c r="AX98" t="str">
        <f>"専用"</f>
        <v>専用</v>
      </c>
      <c r="AY98" t="str">
        <f>"01"</f>
        <v>01</v>
      </c>
      <c r="AZ98" t="str">
        <f>"後補充"</f>
        <v>後補充</v>
      </c>
      <c r="BA98" t="str">
        <f>""</f>
        <v/>
      </c>
      <c r="BB98" t="str">
        <f t="shared" si="113"/>
        <v>ＡＷ１３１フタナシ</v>
      </c>
      <c r="BC98" t="str">
        <f t="shared" si="114"/>
        <v xml:space="preserve"> 165.000</v>
      </c>
      <c r="BD98" t="str">
        <f t="shared" si="111"/>
        <v xml:space="preserve"> 335.000</v>
      </c>
      <c r="BE98" t="str">
        <f t="shared" si="112"/>
        <v xml:space="preserve"> 105.000</v>
      </c>
      <c r="BF98" t="str">
        <f t="shared" si="115"/>
        <v xml:space="preserve">   0.006</v>
      </c>
      <c r="BG98" t="str">
        <f>"   1.200"</f>
        <v xml:space="preserve">   1.200</v>
      </c>
      <c r="BH98" t="str">
        <f t="shared" si="93"/>
        <v>しない</v>
      </c>
      <c r="BI98" t="str">
        <f>""</f>
        <v/>
      </c>
      <c r="BJ98" t="str">
        <f t="shared" si="94"/>
        <v>MASTER01</v>
      </c>
      <c r="BK98" t="str">
        <f>"2022/04/19"</f>
        <v>2022/04/19</v>
      </c>
      <c r="BL98" t="str">
        <f t="shared" si="95"/>
        <v>NE00</v>
      </c>
      <c r="BM98" t="str">
        <f t="shared" si="96"/>
        <v>１工工務Ｇ</v>
      </c>
      <c r="BN98" t="str">
        <f t="shared" si="97"/>
        <v>46548</v>
      </c>
      <c r="BO98" t="str">
        <f t="shared" si="98"/>
        <v>長畑　玲奈</v>
      </c>
    </row>
    <row r="99" spans="1:67">
      <c r="A99" t="s">
        <v>195</v>
      </c>
      <c r="B99" t="str">
        <f>""</f>
        <v/>
      </c>
      <c r="C99" t="str">
        <f>""</f>
        <v/>
      </c>
      <c r="D99" t="s">
        <v>19</v>
      </c>
      <c r="E99" t="str">
        <f t="shared" si="69"/>
        <v>1Y</v>
      </c>
      <c r="F99" t="str">
        <f t="shared" si="70"/>
        <v>第１工場</v>
      </c>
      <c r="G99" t="str">
        <f t="shared" si="71"/>
        <v>手配</v>
      </c>
      <c r="H99" t="str">
        <f t="shared" si="72"/>
        <v>Ｐ</v>
      </c>
      <c r="I99" t="str">
        <f t="shared" ref="I99:I107" si="116">"2036"</f>
        <v>2036</v>
      </c>
      <c r="J99" t="str">
        <f t="shared" ref="J99:J107" si="117">"三共鋼業（株）"</f>
        <v>三共鋼業（株）</v>
      </c>
      <c r="K99" t="str">
        <f t="shared" si="107"/>
        <v>01</v>
      </c>
      <c r="L99" t="str">
        <f t="shared" ref="L99:L107" si="118">"東浦南工場"</f>
        <v>東浦南工場</v>
      </c>
      <c r="M99" t="str">
        <f t="shared" si="104"/>
        <v>――</v>
      </c>
      <c r="N99" t="str">
        <f t="shared" si="104"/>
        <v>――</v>
      </c>
      <c r="O99" t="str">
        <f t="shared" si="77"/>
        <v>Ｍ</v>
      </c>
      <c r="P99" t="str">
        <f t="shared" si="78"/>
        <v>01</v>
      </c>
      <c r="Q99" t="str">
        <f t="shared" si="79"/>
        <v>第１</v>
      </c>
      <c r="R99" t="str">
        <f t="shared" si="80"/>
        <v>1Y</v>
      </c>
      <c r="S99" t="str">
        <f t="shared" si="81"/>
        <v>安城第１工場</v>
      </c>
      <c r="T99" t="str">
        <f t="shared" si="82"/>
        <v>直接</v>
      </c>
      <c r="U99" t="str">
        <f>""</f>
        <v/>
      </c>
      <c r="V99" t="str">
        <f>""</f>
        <v/>
      </c>
      <c r="W99" t="str">
        <f>""</f>
        <v/>
      </c>
      <c r="X99">
        <v>1</v>
      </c>
      <c r="Y99">
        <v>1</v>
      </c>
      <c r="Z99">
        <v>1.74</v>
      </c>
      <c r="AA99">
        <v>1.03</v>
      </c>
      <c r="AB99">
        <v>3</v>
      </c>
      <c r="AC99">
        <v>1.03</v>
      </c>
      <c r="AD99">
        <v>1.03</v>
      </c>
      <c r="AE99">
        <v>1.1000000000000001</v>
      </c>
      <c r="AF99">
        <v>0.5</v>
      </c>
      <c r="AG99" t="str">
        <f t="shared" ref="AG99:AG107" si="119">"073"</f>
        <v>073</v>
      </c>
      <c r="AH99" t="str">
        <f t="shared" ref="AH99:AH107" si="120">"三共鋼業（株）"</f>
        <v>三共鋼業（株）</v>
      </c>
      <c r="AI99" t="str">
        <f>"009"</f>
        <v>009</v>
      </c>
      <c r="AJ99" t="str">
        <f>""</f>
        <v/>
      </c>
      <c r="AK99" t="str">
        <f>""</f>
        <v/>
      </c>
      <c r="AL99" t="str">
        <f>"0615"</f>
        <v>0615</v>
      </c>
      <c r="AM99" t="str">
        <f>"ﾌﾟﾚｰﾄ ｵｲﾙ"</f>
        <v>ﾌﾟﾚｰﾄ ｵｲﾙ</v>
      </c>
      <c r="AN99" t="str">
        <f>"051"</f>
        <v>051</v>
      </c>
      <c r="AO99" t="str">
        <f>"AW-131 ｾﾝﾖｳ"</f>
        <v>AW-131 ｾﾝﾖｳ</v>
      </c>
      <c r="AP99">
        <v>150</v>
      </c>
      <c r="AQ99" t="str">
        <f>""</f>
        <v/>
      </c>
      <c r="AR99" t="str">
        <f>""</f>
        <v/>
      </c>
      <c r="AS99" t="str">
        <f>""</f>
        <v/>
      </c>
      <c r="AT99" t="str">
        <f t="shared" si="87"/>
        <v>00</v>
      </c>
      <c r="AU99">
        <v>0.5</v>
      </c>
      <c r="AV99" t="str">
        <f>""</f>
        <v/>
      </c>
      <c r="AW99" t="str">
        <f>""</f>
        <v/>
      </c>
      <c r="AX99" t="str">
        <f>""</f>
        <v/>
      </c>
      <c r="AY99" t="str">
        <f>""</f>
        <v/>
      </c>
      <c r="AZ99" t="str">
        <f>""</f>
        <v/>
      </c>
      <c r="BA99" t="str">
        <f>""</f>
        <v/>
      </c>
      <c r="BB99" t="str">
        <f t="shared" ref="BB99:BB107" si="121">"ＴＰ１３１フタナシ"</f>
        <v>ＴＰ１３１フタナシ</v>
      </c>
      <c r="BC99" t="str">
        <f t="shared" ref="BC99:BC109" si="122">" 335.000"</f>
        <v xml:space="preserve"> 335.000</v>
      </c>
      <c r="BD99" t="str">
        <f>" 168.000"</f>
        <v xml:space="preserve"> 168.000</v>
      </c>
      <c r="BE99" t="str">
        <f t="shared" ref="BE99:BE109" si="123">" 103.000"</f>
        <v xml:space="preserve"> 103.000</v>
      </c>
      <c r="BF99" t="str">
        <f t="shared" si="115"/>
        <v xml:space="preserve">   0.006</v>
      </c>
      <c r="BG99" t="str">
        <f>"   1.700"</f>
        <v xml:space="preserve">   1.700</v>
      </c>
      <c r="BH99" t="str">
        <f t="shared" si="93"/>
        <v>しない</v>
      </c>
      <c r="BI99" t="str">
        <f>""</f>
        <v/>
      </c>
      <c r="BJ99" t="str">
        <f t="shared" si="94"/>
        <v>MASTER01</v>
      </c>
      <c r="BK99" t="str">
        <f>"2023/01/17"</f>
        <v>2023/01/17</v>
      </c>
      <c r="BL99" t="str">
        <f t="shared" si="95"/>
        <v>NE00</v>
      </c>
      <c r="BM99" t="str">
        <f t="shared" si="96"/>
        <v>１工工務Ｇ</v>
      </c>
      <c r="BN99" t="str">
        <f t="shared" si="97"/>
        <v>46548</v>
      </c>
      <c r="BO99" t="str">
        <f t="shared" si="98"/>
        <v>長畑　玲奈</v>
      </c>
    </row>
    <row r="100" spans="1:67">
      <c r="A100" t="s">
        <v>196</v>
      </c>
      <c r="B100" t="str">
        <f>""</f>
        <v/>
      </c>
      <c r="C100" t="str">
        <f>""</f>
        <v/>
      </c>
      <c r="D100" t="s">
        <v>19</v>
      </c>
      <c r="E100" t="str">
        <f t="shared" si="69"/>
        <v>1Y</v>
      </c>
      <c r="F100" t="str">
        <f t="shared" si="70"/>
        <v>第１工場</v>
      </c>
      <c r="G100" t="str">
        <f t="shared" si="71"/>
        <v>手配</v>
      </c>
      <c r="H100" t="str">
        <f t="shared" si="72"/>
        <v>Ｐ</v>
      </c>
      <c r="I100" t="str">
        <f t="shared" si="116"/>
        <v>2036</v>
      </c>
      <c r="J100" t="str">
        <f t="shared" si="117"/>
        <v>三共鋼業（株）</v>
      </c>
      <c r="K100" t="str">
        <f t="shared" si="107"/>
        <v>01</v>
      </c>
      <c r="L100" t="str">
        <f t="shared" si="118"/>
        <v>東浦南工場</v>
      </c>
      <c r="M100" t="str">
        <f t="shared" si="104"/>
        <v>――</v>
      </c>
      <c r="N100" t="str">
        <f t="shared" si="104"/>
        <v>――</v>
      </c>
      <c r="O100" t="str">
        <f t="shared" si="77"/>
        <v>Ｍ</v>
      </c>
      <c r="P100" t="str">
        <f t="shared" si="78"/>
        <v>01</v>
      </c>
      <c r="Q100" t="str">
        <f t="shared" si="79"/>
        <v>第１</v>
      </c>
      <c r="R100" t="str">
        <f t="shared" si="80"/>
        <v>1Y</v>
      </c>
      <c r="S100" t="str">
        <f t="shared" si="81"/>
        <v>安城第１工場</v>
      </c>
      <c r="T100" t="str">
        <f t="shared" si="82"/>
        <v>直接</v>
      </c>
      <c r="U100" t="str">
        <f>""</f>
        <v/>
      </c>
      <c r="V100" t="str">
        <f>""</f>
        <v/>
      </c>
      <c r="W100" t="str">
        <f>""</f>
        <v/>
      </c>
      <c r="X100">
        <v>1</v>
      </c>
      <c r="Y100">
        <v>1</v>
      </c>
      <c r="Z100">
        <v>1.74</v>
      </c>
      <c r="AA100">
        <v>1.03</v>
      </c>
      <c r="AB100">
        <v>3</v>
      </c>
      <c r="AC100">
        <v>1.03</v>
      </c>
      <c r="AD100">
        <v>1.03</v>
      </c>
      <c r="AE100">
        <v>1.1000000000000001</v>
      </c>
      <c r="AF100">
        <v>0.5</v>
      </c>
      <c r="AG100" t="str">
        <f t="shared" si="119"/>
        <v>073</v>
      </c>
      <c r="AH100" t="str">
        <f t="shared" si="120"/>
        <v>三共鋼業（株）</v>
      </c>
      <c r="AI100" t="str">
        <f>"001"</f>
        <v>001</v>
      </c>
      <c r="AJ100" t="str">
        <f>"M-MG-17"</f>
        <v>M-MG-17</v>
      </c>
      <c r="AK100" t="str">
        <f>"10447"</f>
        <v>10447</v>
      </c>
      <c r="AL100" t="str">
        <f>"9201"</f>
        <v>9201</v>
      </c>
      <c r="AM100" t="str">
        <f>"ｵｲﾙﾌﾟﾚｰﾄ"</f>
        <v>ｵｲﾙﾌﾟﾚｰﾄ</v>
      </c>
      <c r="AN100" t="str">
        <f>"051"</f>
        <v>051</v>
      </c>
      <c r="AO100" t="str">
        <f>"AW-131 ｾﾝﾖｳ"</f>
        <v>AW-131 ｾﾝﾖｳ</v>
      </c>
      <c r="AP100">
        <v>100</v>
      </c>
      <c r="AQ100" t="str">
        <f>""</f>
        <v/>
      </c>
      <c r="AR100" t="str">
        <f>""</f>
        <v/>
      </c>
      <c r="AS100" t="str">
        <f>""</f>
        <v/>
      </c>
      <c r="AT100" t="str">
        <f t="shared" si="87"/>
        <v>00</v>
      </c>
      <c r="AU100">
        <v>0.5</v>
      </c>
      <c r="AV100" t="str">
        <f>""</f>
        <v/>
      </c>
      <c r="AW100" t="str">
        <f>"08"</f>
        <v>08</v>
      </c>
      <c r="AX100" t="str">
        <f>"専用"</f>
        <v>専用</v>
      </c>
      <c r="AY100" t="str">
        <f>"01"</f>
        <v>01</v>
      </c>
      <c r="AZ100" t="str">
        <f>"後補充"</f>
        <v>後補充</v>
      </c>
      <c r="BA100" t="str">
        <f>""</f>
        <v/>
      </c>
      <c r="BB100" t="str">
        <f t="shared" si="121"/>
        <v>ＴＰ１３１フタナシ</v>
      </c>
      <c r="BC100" t="str">
        <f t="shared" si="122"/>
        <v xml:space="preserve"> 335.000</v>
      </c>
      <c r="BD100" t="str">
        <f>" 168.000"</f>
        <v xml:space="preserve"> 168.000</v>
      </c>
      <c r="BE100" t="str">
        <f t="shared" si="123"/>
        <v xml:space="preserve"> 103.000</v>
      </c>
      <c r="BF100" t="str">
        <f t="shared" si="115"/>
        <v xml:space="preserve">   0.006</v>
      </c>
      <c r="BG100" t="str">
        <f>"   4.630"</f>
        <v xml:space="preserve">   4.630</v>
      </c>
      <c r="BH100" t="str">
        <f t="shared" si="93"/>
        <v>しない</v>
      </c>
      <c r="BI100" t="str">
        <f>""</f>
        <v/>
      </c>
      <c r="BJ100" t="str">
        <f t="shared" si="94"/>
        <v>MASTER01</v>
      </c>
      <c r="BK100" t="str">
        <f>"2022/04/19"</f>
        <v>2022/04/19</v>
      </c>
      <c r="BL100" t="str">
        <f t="shared" si="95"/>
        <v>NE00</v>
      </c>
      <c r="BM100" t="str">
        <f t="shared" si="96"/>
        <v>１工工務Ｇ</v>
      </c>
      <c r="BN100" t="str">
        <f t="shared" si="97"/>
        <v>46548</v>
      </c>
      <c r="BO100" t="str">
        <f t="shared" si="98"/>
        <v>長畑　玲奈</v>
      </c>
    </row>
    <row r="101" spans="1:67">
      <c r="A101" t="s">
        <v>197</v>
      </c>
      <c r="B101" t="str">
        <f>""</f>
        <v/>
      </c>
      <c r="C101" t="str">
        <f>""</f>
        <v/>
      </c>
      <c r="D101" t="s">
        <v>19</v>
      </c>
      <c r="E101" t="str">
        <f t="shared" si="69"/>
        <v>1Y</v>
      </c>
      <c r="F101" t="str">
        <f t="shared" si="70"/>
        <v>第１工場</v>
      </c>
      <c r="G101" t="str">
        <f t="shared" si="71"/>
        <v>手配</v>
      </c>
      <c r="H101" t="str">
        <f t="shared" si="72"/>
        <v>Ｐ</v>
      </c>
      <c r="I101" t="str">
        <f t="shared" si="116"/>
        <v>2036</v>
      </c>
      <c r="J101" t="str">
        <f t="shared" si="117"/>
        <v>三共鋼業（株）</v>
      </c>
      <c r="K101" t="str">
        <f t="shared" si="107"/>
        <v>01</v>
      </c>
      <c r="L101" t="str">
        <f t="shared" si="118"/>
        <v>東浦南工場</v>
      </c>
      <c r="M101" t="str">
        <f t="shared" si="104"/>
        <v>――</v>
      </c>
      <c r="N101" t="str">
        <f t="shared" si="104"/>
        <v>――</v>
      </c>
      <c r="O101" t="str">
        <f t="shared" si="77"/>
        <v>Ｍ</v>
      </c>
      <c r="P101" t="str">
        <f t="shared" si="78"/>
        <v>01</v>
      </c>
      <c r="Q101" t="str">
        <f t="shared" si="79"/>
        <v>第１</v>
      </c>
      <c r="R101" t="str">
        <f t="shared" si="80"/>
        <v>1Y</v>
      </c>
      <c r="S101" t="str">
        <f t="shared" si="81"/>
        <v>安城第１工場</v>
      </c>
      <c r="T101" t="str">
        <f t="shared" si="82"/>
        <v>直接</v>
      </c>
      <c r="U101" t="str">
        <f>""</f>
        <v/>
      </c>
      <c r="V101" t="str">
        <f>""</f>
        <v/>
      </c>
      <c r="W101" t="str">
        <f>""</f>
        <v/>
      </c>
      <c r="X101">
        <v>1</v>
      </c>
      <c r="Y101">
        <v>1</v>
      </c>
      <c r="Z101">
        <v>1.74</v>
      </c>
      <c r="AA101">
        <v>1.03</v>
      </c>
      <c r="AB101">
        <v>3</v>
      </c>
      <c r="AC101">
        <v>1.03</v>
      </c>
      <c r="AD101">
        <v>1.03</v>
      </c>
      <c r="AE101">
        <v>1.1000000000000001</v>
      </c>
      <c r="AF101">
        <v>0.5</v>
      </c>
      <c r="AG101" t="str">
        <f t="shared" si="119"/>
        <v>073</v>
      </c>
      <c r="AH101" t="str">
        <f t="shared" si="120"/>
        <v>三共鋼業（株）</v>
      </c>
      <c r="AI101" t="str">
        <f>"002"</f>
        <v>002</v>
      </c>
      <c r="AJ101" t="str">
        <f>"M-MG-42"</f>
        <v>M-MG-42</v>
      </c>
      <c r="AK101" t="str">
        <f>"10449"</f>
        <v>10449</v>
      </c>
      <c r="AL101" t="str">
        <f>"9201"</f>
        <v>9201</v>
      </c>
      <c r="AM101" t="str">
        <f>"ｵｲﾙﾌﾟﾚｰﾄ"</f>
        <v>ｵｲﾙﾌﾟﾚｰﾄ</v>
      </c>
      <c r="AN101" t="str">
        <f>"051"</f>
        <v>051</v>
      </c>
      <c r="AO101" t="str">
        <f>"AW-131 ｾﾝﾖｳ"</f>
        <v>AW-131 ｾﾝﾖｳ</v>
      </c>
      <c r="AP101">
        <v>100</v>
      </c>
      <c r="AQ101" t="str">
        <f>""</f>
        <v/>
      </c>
      <c r="AR101" t="str">
        <f>""</f>
        <v/>
      </c>
      <c r="AS101" t="str">
        <f>""</f>
        <v/>
      </c>
      <c r="AT101" t="str">
        <f t="shared" si="87"/>
        <v>00</v>
      </c>
      <c r="AU101">
        <v>0.5</v>
      </c>
      <c r="AV101" t="str">
        <f>""</f>
        <v/>
      </c>
      <c r="AW101" t="str">
        <f>"08"</f>
        <v>08</v>
      </c>
      <c r="AX101" t="str">
        <f>"専用"</f>
        <v>専用</v>
      </c>
      <c r="AY101" t="str">
        <f>"01"</f>
        <v>01</v>
      </c>
      <c r="AZ101" t="str">
        <f>"後補充"</f>
        <v>後補充</v>
      </c>
      <c r="BA101" t="str">
        <f>""</f>
        <v/>
      </c>
      <c r="BB101" t="str">
        <f t="shared" si="121"/>
        <v>ＴＰ１３１フタナシ</v>
      </c>
      <c r="BC101" t="str">
        <f t="shared" si="122"/>
        <v xml:space="preserve"> 335.000</v>
      </c>
      <c r="BD101" t="str">
        <f>" 168.000"</f>
        <v xml:space="preserve"> 168.000</v>
      </c>
      <c r="BE101" t="str">
        <f t="shared" si="123"/>
        <v xml:space="preserve"> 103.000</v>
      </c>
      <c r="BF101" t="str">
        <f t="shared" si="115"/>
        <v xml:space="preserve">   0.006</v>
      </c>
      <c r="BG101" t="str">
        <f>"   3.610"</f>
        <v xml:space="preserve">   3.610</v>
      </c>
      <c r="BH101" t="str">
        <f t="shared" si="93"/>
        <v>しない</v>
      </c>
      <c r="BI101" t="str">
        <f>""</f>
        <v/>
      </c>
      <c r="BJ101" t="str">
        <f t="shared" si="94"/>
        <v>MASTER01</v>
      </c>
      <c r="BK101" t="str">
        <f>"2022/04/19"</f>
        <v>2022/04/19</v>
      </c>
      <c r="BL101" t="str">
        <f t="shared" si="95"/>
        <v>NE00</v>
      </c>
      <c r="BM101" t="str">
        <f t="shared" si="96"/>
        <v>１工工務Ｇ</v>
      </c>
      <c r="BN101" t="str">
        <f t="shared" si="97"/>
        <v>46548</v>
      </c>
      <c r="BO101" t="str">
        <f t="shared" si="98"/>
        <v>長畑　玲奈</v>
      </c>
    </row>
    <row r="102" spans="1:67">
      <c r="A102" t="s">
        <v>198</v>
      </c>
      <c r="B102" t="str">
        <f>""</f>
        <v/>
      </c>
      <c r="C102" t="str">
        <f>""</f>
        <v/>
      </c>
      <c r="D102" t="s">
        <v>46</v>
      </c>
      <c r="E102" t="str">
        <f t="shared" si="69"/>
        <v>1Y</v>
      </c>
      <c r="F102" t="str">
        <f t="shared" si="70"/>
        <v>第１工場</v>
      </c>
      <c r="G102" t="str">
        <f t="shared" si="71"/>
        <v>手配</v>
      </c>
      <c r="H102" t="str">
        <f t="shared" si="72"/>
        <v>Ｐ</v>
      </c>
      <c r="I102" t="str">
        <f t="shared" si="116"/>
        <v>2036</v>
      </c>
      <c r="J102" t="str">
        <f t="shared" si="117"/>
        <v>三共鋼業（株）</v>
      </c>
      <c r="K102" t="str">
        <f t="shared" si="107"/>
        <v>01</v>
      </c>
      <c r="L102" t="str">
        <f t="shared" si="118"/>
        <v>東浦南工場</v>
      </c>
      <c r="M102" t="str">
        <f t="shared" ref="M102:N121" si="124">"――"</f>
        <v>――</v>
      </c>
      <c r="N102" t="str">
        <f t="shared" si="124"/>
        <v>――</v>
      </c>
      <c r="O102" t="str">
        <f t="shared" si="77"/>
        <v>Ｍ</v>
      </c>
      <c r="P102" t="str">
        <f t="shared" si="78"/>
        <v>01</v>
      </c>
      <c r="Q102" t="str">
        <f t="shared" si="79"/>
        <v>第１</v>
      </c>
      <c r="R102" t="str">
        <f t="shared" si="80"/>
        <v>1Y</v>
      </c>
      <c r="S102" t="str">
        <f t="shared" si="81"/>
        <v>安城第１工場</v>
      </c>
      <c r="T102" t="str">
        <f t="shared" si="82"/>
        <v>直接</v>
      </c>
      <c r="U102" t="str">
        <f>""</f>
        <v/>
      </c>
      <c r="V102" t="str">
        <f>""</f>
        <v/>
      </c>
      <c r="W102" t="str">
        <f>""</f>
        <v/>
      </c>
      <c r="X102">
        <v>1</v>
      </c>
      <c r="Y102">
        <v>1</v>
      </c>
      <c r="Z102">
        <v>1.74</v>
      </c>
      <c r="AA102">
        <v>1.03</v>
      </c>
      <c r="AB102">
        <v>3</v>
      </c>
      <c r="AC102">
        <v>1.03</v>
      </c>
      <c r="AD102">
        <v>1.03</v>
      </c>
      <c r="AE102">
        <v>1.1000000000000001</v>
      </c>
      <c r="AF102">
        <v>0.5</v>
      </c>
      <c r="AG102" t="str">
        <f t="shared" si="119"/>
        <v>073</v>
      </c>
      <c r="AH102" t="str">
        <f t="shared" si="120"/>
        <v>三共鋼業（株）</v>
      </c>
      <c r="AI102" t="str">
        <f>"003"</f>
        <v>003</v>
      </c>
      <c r="AJ102" t="str">
        <f>"S-TA-2-13"</f>
        <v>S-TA-2-13</v>
      </c>
      <c r="AK102" t="str">
        <f>"10450"</f>
        <v>10450</v>
      </c>
      <c r="AL102" t="str">
        <f>"0561"</f>
        <v>0561</v>
      </c>
      <c r="AM102" t="str">
        <f>"ｸﾗﾝﾌﾟﾁﾕ-ﾌﾞ"</f>
        <v>ｸﾗﾝﾌﾟﾁﾕ-ﾌﾞ</v>
      </c>
      <c r="AN102" t="str">
        <f>"012"</f>
        <v>012</v>
      </c>
      <c r="AO102" t="str">
        <f>"TP-131 ﾊﾝﾖｳ"</f>
        <v>TP-131 ﾊﾝﾖｳ</v>
      </c>
      <c r="AP102">
        <v>400</v>
      </c>
      <c r="AQ102" t="str">
        <f>""</f>
        <v/>
      </c>
      <c r="AR102" t="str">
        <f>""</f>
        <v/>
      </c>
      <c r="AS102" t="str">
        <f>""</f>
        <v/>
      </c>
      <c r="AT102" t="str">
        <f t="shared" si="87"/>
        <v>00</v>
      </c>
      <c r="AU102">
        <v>0.5</v>
      </c>
      <c r="AV102" t="str">
        <f>""</f>
        <v/>
      </c>
      <c r="AW102" t="str">
        <f>"08"</f>
        <v>08</v>
      </c>
      <c r="AX102" t="str">
        <f>"専用"</f>
        <v>専用</v>
      </c>
      <c r="AY102" t="str">
        <f>"01"</f>
        <v>01</v>
      </c>
      <c r="AZ102" t="str">
        <f>"後補充"</f>
        <v>後補充</v>
      </c>
      <c r="BA102" t="str">
        <f>""</f>
        <v/>
      </c>
      <c r="BB102" t="str">
        <f t="shared" si="121"/>
        <v>ＴＰ１３１フタナシ</v>
      </c>
      <c r="BC102" t="str">
        <f t="shared" si="122"/>
        <v xml:space="preserve"> 335.000</v>
      </c>
      <c r="BD102" t="str">
        <f>" 168.000"</f>
        <v xml:space="preserve"> 168.000</v>
      </c>
      <c r="BE102" t="str">
        <f t="shared" si="123"/>
        <v xml:space="preserve"> 103.000</v>
      </c>
      <c r="BF102" t="str">
        <f t="shared" si="115"/>
        <v xml:space="preserve">   0.006</v>
      </c>
      <c r="BG102" t="str">
        <f>"   3.440"</f>
        <v xml:space="preserve">   3.440</v>
      </c>
      <c r="BH102" t="str">
        <f t="shared" si="93"/>
        <v>しない</v>
      </c>
      <c r="BI102" t="str">
        <f>""</f>
        <v/>
      </c>
      <c r="BJ102" t="str">
        <f t="shared" si="94"/>
        <v>MASTER01</v>
      </c>
      <c r="BK102" t="str">
        <f>"2022/04/19"</f>
        <v>2022/04/19</v>
      </c>
      <c r="BL102" t="str">
        <f t="shared" si="95"/>
        <v>NE00</v>
      </c>
      <c r="BM102" t="str">
        <f t="shared" si="96"/>
        <v>１工工務Ｇ</v>
      </c>
      <c r="BN102" t="str">
        <f t="shared" si="97"/>
        <v>46548</v>
      </c>
      <c r="BO102" t="str">
        <f t="shared" si="98"/>
        <v>長畑　玲奈</v>
      </c>
    </row>
    <row r="103" spans="1:67">
      <c r="A103" t="s">
        <v>199</v>
      </c>
      <c r="B103" t="str">
        <f>""</f>
        <v/>
      </c>
      <c r="C103" t="str">
        <f>""</f>
        <v/>
      </c>
      <c r="D103" t="s">
        <v>47</v>
      </c>
      <c r="E103" t="str">
        <f t="shared" si="69"/>
        <v>1Y</v>
      </c>
      <c r="F103" t="str">
        <f t="shared" si="70"/>
        <v>第１工場</v>
      </c>
      <c r="G103" t="str">
        <f t="shared" si="71"/>
        <v>手配</v>
      </c>
      <c r="H103" t="str">
        <f t="shared" si="72"/>
        <v>Ｐ</v>
      </c>
      <c r="I103" t="str">
        <f t="shared" si="116"/>
        <v>2036</v>
      </c>
      <c r="J103" t="str">
        <f t="shared" si="117"/>
        <v>三共鋼業（株）</v>
      </c>
      <c r="K103" t="str">
        <f t="shared" si="107"/>
        <v>01</v>
      </c>
      <c r="L103" t="str">
        <f t="shared" si="118"/>
        <v>東浦南工場</v>
      </c>
      <c r="M103" t="str">
        <f t="shared" si="124"/>
        <v>――</v>
      </c>
      <c r="N103" t="str">
        <f t="shared" si="124"/>
        <v>――</v>
      </c>
      <c r="O103" t="str">
        <f t="shared" si="77"/>
        <v>Ｍ</v>
      </c>
      <c r="P103" t="str">
        <f t="shared" si="78"/>
        <v>01</v>
      </c>
      <c r="Q103" t="str">
        <f t="shared" si="79"/>
        <v>第１</v>
      </c>
      <c r="R103" t="str">
        <f t="shared" si="80"/>
        <v>1Y</v>
      </c>
      <c r="S103" t="str">
        <f t="shared" si="81"/>
        <v>安城第１工場</v>
      </c>
      <c r="T103" t="str">
        <f t="shared" si="82"/>
        <v>直接</v>
      </c>
      <c r="U103" t="str">
        <f>""</f>
        <v/>
      </c>
      <c r="V103" t="str">
        <f>""</f>
        <v/>
      </c>
      <c r="W103" t="str">
        <f>""</f>
        <v/>
      </c>
      <c r="X103">
        <v>1</v>
      </c>
      <c r="Y103">
        <v>1</v>
      </c>
      <c r="Z103">
        <v>1.74</v>
      </c>
      <c r="AA103">
        <v>1.03</v>
      </c>
      <c r="AB103">
        <v>3</v>
      </c>
      <c r="AC103">
        <v>1.03</v>
      </c>
      <c r="AD103">
        <v>1.03</v>
      </c>
      <c r="AE103">
        <v>1.1000000000000001</v>
      </c>
      <c r="AF103">
        <v>0.5</v>
      </c>
      <c r="AG103" t="str">
        <f t="shared" si="119"/>
        <v>073</v>
      </c>
      <c r="AH103" t="str">
        <f t="shared" si="120"/>
        <v>三共鋼業（株）</v>
      </c>
      <c r="AI103" t="str">
        <f>"004"</f>
        <v>004</v>
      </c>
      <c r="AJ103" t="str">
        <f>"M-MG-30"</f>
        <v>M-MG-30</v>
      </c>
      <c r="AK103" t="str">
        <f>"10448"</f>
        <v>10448</v>
      </c>
      <c r="AL103" t="str">
        <f>"0567"</f>
        <v>0567</v>
      </c>
      <c r="AM103" t="str">
        <f>"ｸﾗﾝﾌﾟT/AｱﾌﾟﾗｲﾁｭｰﾌﾞNO.1"</f>
        <v>ｸﾗﾝﾌﾟT/AｱﾌﾟﾗｲﾁｭｰﾌﾞNO.1</v>
      </c>
      <c r="AN103" t="str">
        <f>"012"</f>
        <v>012</v>
      </c>
      <c r="AO103" t="str">
        <f>"TP-131 ﾊﾝﾖｳ"</f>
        <v>TP-131 ﾊﾝﾖｳ</v>
      </c>
      <c r="AP103">
        <v>400</v>
      </c>
      <c r="AQ103" t="str">
        <f>""</f>
        <v/>
      </c>
      <c r="AR103" t="str">
        <f>""</f>
        <v/>
      </c>
      <c r="AS103" t="str">
        <f>""</f>
        <v/>
      </c>
      <c r="AT103" t="str">
        <f t="shared" si="87"/>
        <v>00</v>
      </c>
      <c r="AU103">
        <v>0.5</v>
      </c>
      <c r="AV103" t="str">
        <f>""</f>
        <v/>
      </c>
      <c r="AW103" t="str">
        <f>"08"</f>
        <v>08</v>
      </c>
      <c r="AX103" t="str">
        <f>"専用"</f>
        <v>専用</v>
      </c>
      <c r="AY103" t="str">
        <f>"01"</f>
        <v>01</v>
      </c>
      <c r="AZ103" t="str">
        <f>"後補充"</f>
        <v>後補充</v>
      </c>
      <c r="BA103" t="str">
        <f>""</f>
        <v/>
      </c>
      <c r="BB103" t="str">
        <f t="shared" si="121"/>
        <v>ＴＰ１３１フタナシ</v>
      </c>
      <c r="BC103" t="str">
        <f t="shared" si="122"/>
        <v xml:space="preserve"> 335.000</v>
      </c>
      <c r="BD103" t="str">
        <f>" 168.000"</f>
        <v xml:space="preserve"> 168.000</v>
      </c>
      <c r="BE103" t="str">
        <f t="shared" si="123"/>
        <v xml:space="preserve"> 103.000</v>
      </c>
      <c r="BF103" t="str">
        <f t="shared" si="115"/>
        <v xml:space="preserve">   0.006</v>
      </c>
      <c r="BG103" t="str">
        <f>"   3.880"</f>
        <v xml:space="preserve">   3.880</v>
      </c>
      <c r="BH103" t="str">
        <f t="shared" si="93"/>
        <v>しない</v>
      </c>
      <c r="BI103" t="str">
        <f>""</f>
        <v/>
      </c>
      <c r="BJ103" t="str">
        <f t="shared" si="94"/>
        <v>MASTER01</v>
      </c>
      <c r="BK103" t="str">
        <f>"2022/04/19"</f>
        <v>2022/04/19</v>
      </c>
      <c r="BL103" t="str">
        <f t="shared" si="95"/>
        <v>NE00</v>
      </c>
      <c r="BM103" t="str">
        <f t="shared" si="96"/>
        <v>１工工務Ｇ</v>
      </c>
      <c r="BN103" t="str">
        <f t="shared" si="97"/>
        <v>46548</v>
      </c>
      <c r="BO103" t="str">
        <f t="shared" si="98"/>
        <v>長畑　玲奈</v>
      </c>
    </row>
    <row r="104" spans="1:67">
      <c r="A104" t="s">
        <v>200</v>
      </c>
      <c r="B104" t="str">
        <f>""</f>
        <v/>
      </c>
      <c r="C104" t="str">
        <f>""</f>
        <v/>
      </c>
      <c r="D104" t="s">
        <v>48</v>
      </c>
      <c r="E104" t="str">
        <f t="shared" si="69"/>
        <v>1Y</v>
      </c>
      <c r="F104" t="str">
        <f t="shared" si="70"/>
        <v>第１工場</v>
      </c>
      <c r="G104" t="str">
        <f t="shared" si="71"/>
        <v>手配</v>
      </c>
      <c r="H104" t="str">
        <f t="shared" si="72"/>
        <v>Ｐ</v>
      </c>
      <c r="I104" t="str">
        <f t="shared" si="116"/>
        <v>2036</v>
      </c>
      <c r="J104" t="str">
        <f t="shared" si="117"/>
        <v>三共鋼業（株）</v>
      </c>
      <c r="K104" t="str">
        <f t="shared" si="107"/>
        <v>01</v>
      </c>
      <c r="L104" t="str">
        <f t="shared" si="118"/>
        <v>東浦南工場</v>
      </c>
      <c r="M104" t="str">
        <f t="shared" si="124"/>
        <v>――</v>
      </c>
      <c r="N104" t="str">
        <f t="shared" si="124"/>
        <v>――</v>
      </c>
      <c r="O104" t="str">
        <f t="shared" si="77"/>
        <v>Ｍ</v>
      </c>
      <c r="P104" t="str">
        <f t="shared" si="78"/>
        <v>01</v>
      </c>
      <c r="Q104" t="str">
        <f t="shared" si="79"/>
        <v>第１</v>
      </c>
      <c r="R104" t="str">
        <f t="shared" si="80"/>
        <v>1Y</v>
      </c>
      <c r="S104" t="str">
        <f t="shared" si="81"/>
        <v>安城第１工場</v>
      </c>
      <c r="T104" t="str">
        <f t="shared" si="82"/>
        <v>直接</v>
      </c>
      <c r="U104" t="str">
        <f>""</f>
        <v/>
      </c>
      <c r="V104" t="str">
        <f>""</f>
        <v/>
      </c>
      <c r="W104" t="str">
        <f>""</f>
        <v/>
      </c>
      <c r="X104">
        <v>1</v>
      </c>
      <c r="Y104">
        <v>1</v>
      </c>
      <c r="Z104">
        <v>1.74</v>
      </c>
      <c r="AA104">
        <v>1.03</v>
      </c>
      <c r="AB104">
        <v>3</v>
      </c>
      <c r="AC104">
        <v>1.03</v>
      </c>
      <c r="AD104">
        <v>1.03</v>
      </c>
      <c r="AE104">
        <v>1.1000000000000001</v>
      </c>
      <c r="AF104">
        <v>0.5</v>
      </c>
      <c r="AG104" t="str">
        <f t="shared" si="119"/>
        <v>073</v>
      </c>
      <c r="AH104" t="str">
        <f t="shared" si="120"/>
        <v>三共鋼業（株）</v>
      </c>
      <c r="AI104" t="str">
        <f>"008"</f>
        <v>008</v>
      </c>
      <c r="AJ104" t="str">
        <f>""</f>
        <v/>
      </c>
      <c r="AK104" t="str">
        <f>""</f>
        <v/>
      </c>
      <c r="AL104" t="str">
        <f>"0615"</f>
        <v>0615</v>
      </c>
      <c r="AM104" t="str">
        <f>"ﾌﾟﾚｰﾄ ｵｲﾙ ｶﾞｲﾄﾞ"</f>
        <v>ﾌﾟﾚｰﾄ ｵｲﾙ ｶﾞｲﾄﾞ</v>
      </c>
      <c r="AN104" t="str">
        <f>"014"</f>
        <v>014</v>
      </c>
      <c r="AO104" t="str">
        <f>"TP-331 ﾊﾝﾖｳ"</f>
        <v>TP-331 ﾊﾝﾖｳ</v>
      </c>
      <c r="AP104">
        <v>100</v>
      </c>
      <c r="AQ104" t="str">
        <f>""</f>
        <v/>
      </c>
      <c r="AR104" t="str">
        <f>""</f>
        <v/>
      </c>
      <c r="AS104" t="str">
        <f>""</f>
        <v/>
      </c>
      <c r="AT104" t="str">
        <f t="shared" si="87"/>
        <v>00</v>
      </c>
      <c r="AU104">
        <v>0.5</v>
      </c>
      <c r="AV104" t="str">
        <f>""</f>
        <v/>
      </c>
      <c r="AW104" t="str">
        <f>""</f>
        <v/>
      </c>
      <c r="AX104" t="str">
        <f>""</f>
        <v/>
      </c>
      <c r="AY104" t="str">
        <f>""</f>
        <v/>
      </c>
      <c r="AZ104" t="str">
        <f>""</f>
        <v/>
      </c>
      <c r="BA104" t="str">
        <f>""</f>
        <v/>
      </c>
      <c r="BB104" t="str">
        <f t="shared" si="121"/>
        <v>ＴＰ１３１フタナシ</v>
      </c>
      <c r="BC104" t="str">
        <f t="shared" si="122"/>
        <v xml:space="preserve"> 335.000</v>
      </c>
      <c r="BD104" t="str">
        <f>" 335.000"</f>
        <v xml:space="preserve"> 335.000</v>
      </c>
      <c r="BE104" t="str">
        <f t="shared" si="123"/>
        <v xml:space="preserve"> 103.000</v>
      </c>
      <c r="BF104" t="str">
        <f>"   0.012"</f>
        <v xml:space="preserve">   0.012</v>
      </c>
      <c r="BG104" t="str">
        <f>"   3.600"</f>
        <v xml:space="preserve">   3.600</v>
      </c>
      <c r="BH104" t="str">
        <f t="shared" si="93"/>
        <v>しない</v>
      </c>
      <c r="BI104" t="str">
        <f>""</f>
        <v/>
      </c>
      <c r="BJ104" t="str">
        <f t="shared" si="94"/>
        <v>MASTER01</v>
      </c>
      <c r="BK104" t="str">
        <f>"2023/01/17"</f>
        <v>2023/01/17</v>
      </c>
      <c r="BL104" t="str">
        <f t="shared" si="95"/>
        <v>NE00</v>
      </c>
      <c r="BM104" t="str">
        <f t="shared" si="96"/>
        <v>１工工務Ｇ</v>
      </c>
      <c r="BN104" t="str">
        <f t="shared" si="97"/>
        <v>46548</v>
      </c>
      <c r="BO104" t="str">
        <f t="shared" si="98"/>
        <v>長畑　玲奈</v>
      </c>
    </row>
    <row r="105" spans="1:67">
      <c r="A105" t="s">
        <v>201</v>
      </c>
      <c r="B105" t="str">
        <f>""</f>
        <v/>
      </c>
      <c r="C105" t="str">
        <f>""</f>
        <v/>
      </c>
      <c r="D105" t="s">
        <v>49</v>
      </c>
      <c r="E105" t="str">
        <f t="shared" si="69"/>
        <v>1Y</v>
      </c>
      <c r="F105" t="str">
        <f t="shared" si="70"/>
        <v>第１工場</v>
      </c>
      <c r="G105" t="str">
        <f t="shared" si="71"/>
        <v>手配</v>
      </c>
      <c r="H105" t="str">
        <f t="shared" si="72"/>
        <v>Ｐ</v>
      </c>
      <c r="I105" t="str">
        <f t="shared" si="116"/>
        <v>2036</v>
      </c>
      <c r="J105" t="str">
        <f t="shared" si="117"/>
        <v>三共鋼業（株）</v>
      </c>
      <c r="K105" t="str">
        <f t="shared" si="107"/>
        <v>01</v>
      </c>
      <c r="L105" t="str">
        <f t="shared" si="118"/>
        <v>東浦南工場</v>
      </c>
      <c r="M105" t="str">
        <f t="shared" si="124"/>
        <v>――</v>
      </c>
      <c r="N105" t="str">
        <f t="shared" si="124"/>
        <v>――</v>
      </c>
      <c r="O105" t="str">
        <f t="shared" si="77"/>
        <v>Ｍ</v>
      </c>
      <c r="P105" t="str">
        <f t="shared" si="78"/>
        <v>01</v>
      </c>
      <c r="Q105" t="str">
        <f t="shared" si="79"/>
        <v>第１</v>
      </c>
      <c r="R105" t="str">
        <f t="shared" si="80"/>
        <v>1Y</v>
      </c>
      <c r="S105" t="str">
        <f t="shared" si="81"/>
        <v>安城第１工場</v>
      </c>
      <c r="T105" t="str">
        <f t="shared" si="82"/>
        <v>直接</v>
      </c>
      <c r="U105" t="str">
        <f>""</f>
        <v/>
      </c>
      <c r="V105" t="str">
        <f>""</f>
        <v/>
      </c>
      <c r="W105" t="str">
        <f>""</f>
        <v/>
      </c>
      <c r="X105">
        <v>1</v>
      </c>
      <c r="Y105">
        <v>1</v>
      </c>
      <c r="Z105">
        <v>1.74</v>
      </c>
      <c r="AA105">
        <v>1.03</v>
      </c>
      <c r="AB105">
        <v>3</v>
      </c>
      <c r="AC105">
        <v>1.03</v>
      </c>
      <c r="AD105">
        <v>1.03</v>
      </c>
      <c r="AE105">
        <v>1.1000000000000001</v>
      </c>
      <c r="AF105">
        <v>0.5</v>
      </c>
      <c r="AG105" t="str">
        <f t="shared" si="119"/>
        <v>073</v>
      </c>
      <c r="AH105" t="str">
        <f t="shared" si="120"/>
        <v>三共鋼業（株）</v>
      </c>
      <c r="AI105" t="str">
        <f>"006"</f>
        <v>006</v>
      </c>
      <c r="AJ105" t="str">
        <f>""</f>
        <v/>
      </c>
      <c r="AK105" t="str">
        <f>""</f>
        <v/>
      </c>
      <c r="AL105" t="str">
        <f>"0563"</f>
        <v>0563</v>
      </c>
      <c r="AM105" t="str">
        <f>"ｸﾗﾝﾌﾟ ｿﾚﾉｲﾄﾞ"</f>
        <v>ｸﾗﾝﾌﾟ ｿﾚﾉｲﾄﾞ</v>
      </c>
      <c r="AN105" t="str">
        <f>"012"</f>
        <v>012</v>
      </c>
      <c r="AO105" t="str">
        <f>"TP-131 ﾊﾝﾖｳ"</f>
        <v>TP-131 ﾊﾝﾖｳ</v>
      </c>
      <c r="AP105">
        <v>500</v>
      </c>
      <c r="AQ105" t="str">
        <f>""</f>
        <v/>
      </c>
      <c r="AR105" t="str">
        <f>""</f>
        <v/>
      </c>
      <c r="AS105" t="str">
        <f>""</f>
        <v/>
      </c>
      <c r="AT105" t="str">
        <f t="shared" si="87"/>
        <v>00</v>
      </c>
      <c r="AU105">
        <v>0.5</v>
      </c>
      <c r="AV105" t="str">
        <f>""</f>
        <v/>
      </c>
      <c r="AW105" t="str">
        <f>""</f>
        <v/>
      </c>
      <c r="AX105" t="str">
        <f>""</f>
        <v/>
      </c>
      <c r="AY105" t="str">
        <f>""</f>
        <v/>
      </c>
      <c r="AZ105" t="str">
        <f>""</f>
        <v/>
      </c>
      <c r="BA105" t="str">
        <f>""</f>
        <v/>
      </c>
      <c r="BB105" t="str">
        <f t="shared" si="121"/>
        <v>ＴＰ１３１フタナシ</v>
      </c>
      <c r="BC105" t="str">
        <f t="shared" si="122"/>
        <v xml:space="preserve"> 335.000</v>
      </c>
      <c r="BD105" t="str">
        <f>" 168.000"</f>
        <v xml:space="preserve"> 168.000</v>
      </c>
      <c r="BE105" t="str">
        <f t="shared" si="123"/>
        <v xml:space="preserve"> 103.000</v>
      </c>
      <c r="BF105" t="str">
        <f>"   0.006"</f>
        <v xml:space="preserve">   0.006</v>
      </c>
      <c r="BG105" t="str">
        <f>"   2.500"</f>
        <v xml:space="preserve">   2.500</v>
      </c>
      <c r="BH105" t="str">
        <f t="shared" si="93"/>
        <v>しない</v>
      </c>
      <c r="BI105" t="str">
        <f>""</f>
        <v/>
      </c>
      <c r="BJ105" t="str">
        <f t="shared" si="94"/>
        <v>MASTER01</v>
      </c>
      <c r="BK105" t="str">
        <f>"2023/01/17"</f>
        <v>2023/01/17</v>
      </c>
      <c r="BL105" t="str">
        <f t="shared" si="95"/>
        <v>NE00</v>
      </c>
      <c r="BM105" t="str">
        <f t="shared" si="96"/>
        <v>１工工務Ｇ</v>
      </c>
      <c r="BN105" t="str">
        <f t="shared" si="97"/>
        <v>46548</v>
      </c>
      <c r="BO105" t="str">
        <f t="shared" si="98"/>
        <v>長畑　玲奈</v>
      </c>
    </row>
    <row r="106" spans="1:67">
      <c r="A106" t="s">
        <v>202</v>
      </c>
      <c r="B106" t="str">
        <f>""</f>
        <v/>
      </c>
      <c r="C106" t="str">
        <f>""</f>
        <v/>
      </c>
      <c r="D106" t="str">
        <f>"CLAMP"</f>
        <v>CLAMP</v>
      </c>
      <c r="E106" t="str">
        <f t="shared" si="69"/>
        <v>1Y</v>
      </c>
      <c r="F106" t="str">
        <f t="shared" si="70"/>
        <v>第１工場</v>
      </c>
      <c r="G106" t="str">
        <f t="shared" si="71"/>
        <v>手配</v>
      </c>
      <c r="H106" t="str">
        <f t="shared" si="72"/>
        <v>Ｐ</v>
      </c>
      <c r="I106" t="str">
        <f t="shared" si="116"/>
        <v>2036</v>
      </c>
      <c r="J106" t="str">
        <f t="shared" si="117"/>
        <v>三共鋼業（株）</v>
      </c>
      <c r="K106" t="str">
        <f t="shared" si="107"/>
        <v>01</v>
      </c>
      <c r="L106" t="str">
        <f t="shared" si="118"/>
        <v>東浦南工場</v>
      </c>
      <c r="M106" t="str">
        <f t="shared" si="124"/>
        <v>――</v>
      </c>
      <c r="N106" t="str">
        <f t="shared" si="124"/>
        <v>――</v>
      </c>
      <c r="O106" t="str">
        <f t="shared" si="77"/>
        <v>Ｍ</v>
      </c>
      <c r="P106" t="str">
        <f t="shared" si="78"/>
        <v>01</v>
      </c>
      <c r="Q106" t="str">
        <f t="shared" si="79"/>
        <v>第１</v>
      </c>
      <c r="R106" t="str">
        <f t="shared" si="80"/>
        <v>1Y</v>
      </c>
      <c r="S106" t="str">
        <f t="shared" si="81"/>
        <v>安城第１工場</v>
      </c>
      <c r="T106" t="str">
        <f t="shared" si="82"/>
        <v>直接</v>
      </c>
      <c r="U106" t="str">
        <f>""</f>
        <v/>
      </c>
      <c r="V106" t="str">
        <f>""</f>
        <v/>
      </c>
      <c r="W106" t="str">
        <f>""</f>
        <v/>
      </c>
      <c r="X106">
        <v>1</v>
      </c>
      <c r="Y106">
        <v>1</v>
      </c>
      <c r="Z106">
        <v>1.74</v>
      </c>
      <c r="AA106">
        <v>1.03</v>
      </c>
      <c r="AB106">
        <v>3</v>
      </c>
      <c r="AC106">
        <v>1.03</v>
      </c>
      <c r="AD106">
        <v>1.03</v>
      </c>
      <c r="AE106">
        <v>1.1000000000000001</v>
      </c>
      <c r="AF106">
        <v>0.5</v>
      </c>
      <c r="AG106" t="str">
        <f t="shared" si="119"/>
        <v>073</v>
      </c>
      <c r="AH106" t="str">
        <f t="shared" si="120"/>
        <v>三共鋼業（株）</v>
      </c>
      <c r="AI106" t="str">
        <f>"005"</f>
        <v>005</v>
      </c>
      <c r="AJ106" t="str">
        <f>""</f>
        <v/>
      </c>
      <c r="AK106" t="str">
        <f>""</f>
        <v/>
      </c>
      <c r="AL106" t="str">
        <f>"0560"</f>
        <v>0560</v>
      </c>
      <c r="AM106" t="str">
        <f>"ｸﾗﾝﾌﾟ"</f>
        <v>ｸﾗﾝﾌﾟ</v>
      </c>
      <c r="AN106" t="str">
        <f>"014"</f>
        <v>014</v>
      </c>
      <c r="AO106" t="str">
        <f>"TP-331 ﾊﾝﾖｳ"</f>
        <v>TP-331 ﾊﾝﾖｳ</v>
      </c>
      <c r="AP106">
        <v>100</v>
      </c>
      <c r="AQ106" t="str">
        <f>""</f>
        <v/>
      </c>
      <c r="AR106" t="str">
        <f>""</f>
        <v/>
      </c>
      <c r="AS106" t="str">
        <f>""</f>
        <v/>
      </c>
      <c r="AT106" t="str">
        <f t="shared" si="87"/>
        <v>00</v>
      </c>
      <c r="AU106">
        <v>0.5</v>
      </c>
      <c r="AV106" t="str">
        <f>""</f>
        <v/>
      </c>
      <c r="AW106" t="str">
        <f>""</f>
        <v/>
      </c>
      <c r="AX106" t="str">
        <f>""</f>
        <v/>
      </c>
      <c r="AY106" t="str">
        <f>""</f>
        <v/>
      </c>
      <c r="AZ106" t="str">
        <f>""</f>
        <v/>
      </c>
      <c r="BA106" t="str">
        <f>""</f>
        <v/>
      </c>
      <c r="BB106" t="str">
        <f t="shared" si="121"/>
        <v>ＴＰ１３１フタナシ</v>
      </c>
      <c r="BC106" t="str">
        <f t="shared" si="122"/>
        <v xml:space="preserve"> 335.000</v>
      </c>
      <c r="BD106" t="str">
        <f>" 335.000"</f>
        <v xml:space="preserve"> 335.000</v>
      </c>
      <c r="BE106" t="str">
        <f t="shared" si="123"/>
        <v xml:space="preserve"> 103.000</v>
      </c>
      <c r="BF106" t="str">
        <f>"   0.012"</f>
        <v xml:space="preserve">   0.012</v>
      </c>
      <c r="BG106" t="str">
        <f>"   3.600"</f>
        <v xml:space="preserve">   3.600</v>
      </c>
      <c r="BH106" t="str">
        <f t="shared" si="93"/>
        <v>しない</v>
      </c>
      <c r="BI106" t="str">
        <f>""</f>
        <v/>
      </c>
      <c r="BJ106" t="str">
        <f t="shared" si="94"/>
        <v>MASTER01</v>
      </c>
      <c r="BK106" t="str">
        <f>"2023/01/17"</f>
        <v>2023/01/17</v>
      </c>
      <c r="BL106" t="str">
        <f t="shared" si="95"/>
        <v>NE00</v>
      </c>
      <c r="BM106" t="str">
        <f t="shared" si="96"/>
        <v>１工工務Ｇ</v>
      </c>
      <c r="BN106" t="str">
        <f t="shared" si="97"/>
        <v>46548</v>
      </c>
      <c r="BO106" t="str">
        <f t="shared" si="98"/>
        <v>長畑　玲奈</v>
      </c>
    </row>
    <row r="107" spans="1:67">
      <c r="A107" t="s">
        <v>203</v>
      </c>
      <c r="B107" t="str">
        <f>""</f>
        <v/>
      </c>
      <c r="C107" t="str">
        <f>""</f>
        <v/>
      </c>
      <c r="D107" t="str">
        <f>"CLAMP"</f>
        <v>CLAMP</v>
      </c>
      <c r="E107" t="str">
        <f t="shared" si="69"/>
        <v>1Y</v>
      </c>
      <c r="F107" t="str">
        <f t="shared" si="70"/>
        <v>第１工場</v>
      </c>
      <c r="G107" t="str">
        <f t="shared" si="71"/>
        <v>手配</v>
      </c>
      <c r="H107" t="str">
        <f t="shared" si="72"/>
        <v>Ｐ</v>
      </c>
      <c r="I107" t="str">
        <f t="shared" si="116"/>
        <v>2036</v>
      </c>
      <c r="J107" t="str">
        <f t="shared" si="117"/>
        <v>三共鋼業（株）</v>
      </c>
      <c r="K107" t="str">
        <f t="shared" si="107"/>
        <v>01</v>
      </c>
      <c r="L107" t="str">
        <f t="shared" si="118"/>
        <v>東浦南工場</v>
      </c>
      <c r="M107" t="str">
        <f t="shared" si="124"/>
        <v>――</v>
      </c>
      <c r="N107" t="str">
        <f t="shared" si="124"/>
        <v>――</v>
      </c>
      <c r="O107" t="str">
        <f t="shared" si="77"/>
        <v>Ｍ</v>
      </c>
      <c r="P107" t="str">
        <f t="shared" si="78"/>
        <v>01</v>
      </c>
      <c r="Q107" t="str">
        <f t="shared" si="79"/>
        <v>第１</v>
      </c>
      <c r="R107" t="str">
        <f t="shared" si="80"/>
        <v>1Y</v>
      </c>
      <c r="S107" t="str">
        <f t="shared" si="81"/>
        <v>安城第１工場</v>
      </c>
      <c r="T107" t="str">
        <f t="shared" si="82"/>
        <v>直接</v>
      </c>
      <c r="U107" t="str">
        <f>""</f>
        <v/>
      </c>
      <c r="V107" t="str">
        <f>""</f>
        <v/>
      </c>
      <c r="W107" t="str">
        <f>""</f>
        <v/>
      </c>
      <c r="X107">
        <v>1</v>
      </c>
      <c r="Y107">
        <v>1</v>
      </c>
      <c r="Z107">
        <v>1.74</v>
      </c>
      <c r="AA107">
        <v>1.03</v>
      </c>
      <c r="AB107">
        <v>3</v>
      </c>
      <c r="AC107">
        <v>1.03</v>
      </c>
      <c r="AD107">
        <v>1.03</v>
      </c>
      <c r="AE107">
        <v>1.1000000000000001</v>
      </c>
      <c r="AF107">
        <v>0.5</v>
      </c>
      <c r="AG107" t="str">
        <f t="shared" si="119"/>
        <v>073</v>
      </c>
      <c r="AH107" t="str">
        <f t="shared" si="120"/>
        <v>三共鋼業（株）</v>
      </c>
      <c r="AI107" t="str">
        <f>"007"</f>
        <v>007</v>
      </c>
      <c r="AJ107" t="str">
        <f>""</f>
        <v/>
      </c>
      <c r="AK107" t="str">
        <f>""</f>
        <v/>
      </c>
      <c r="AL107" t="str">
        <f>"0560"</f>
        <v>0560</v>
      </c>
      <c r="AM107" t="str">
        <f>"ｸﾗﾝﾌﾟ"</f>
        <v>ｸﾗﾝﾌﾟ</v>
      </c>
      <c r="AN107" t="str">
        <f>"014"</f>
        <v>014</v>
      </c>
      <c r="AO107" t="str">
        <f>"TP-331 ﾊﾝﾖｳ"</f>
        <v>TP-331 ﾊﾝﾖｳ</v>
      </c>
      <c r="AP107">
        <v>100</v>
      </c>
      <c r="AQ107" t="str">
        <f>""</f>
        <v/>
      </c>
      <c r="AR107" t="str">
        <f>""</f>
        <v/>
      </c>
      <c r="AS107" t="str">
        <f>""</f>
        <v/>
      </c>
      <c r="AT107" t="str">
        <f t="shared" si="87"/>
        <v>00</v>
      </c>
      <c r="AU107">
        <v>0.5</v>
      </c>
      <c r="AV107" t="str">
        <f>""</f>
        <v/>
      </c>
      <c r="AW107" t="str">
        <f>""</f>
        <v/>
      </c>
      <c r="AX107" t="str">
        <f>""</f>
        <v/>
      </c>
      <c r="AY107" t="str">
        <f>""</f>
        <v/>
      </c>
      <c r="AZ107" t="str">
        <f>""</f>
        <v/>
      </c>
      <c r="BA107" t="str">
        <f>""</f>
        <v/>
      </c>
      <c r="BB107" t="str">
        <f t="shared" si="121"/>
        <v>ＴＰ１３１フタナシ</v>
      </c>
      <c r="BC107" t="str">
        <f t="shared" si="122"/>
        <v xml:space="preserve"> 335.000</v>
      </c>
      <c r="BD107" t="str">
        <f>" 335.000"</f>
        <v xml:space="preserve"> 335.000</v>
      </c>
      <c r="BE107" t="str">
        <f t="shared" si="123"/>
        <v xml:space="preserve"> 103.000</v>
      </c>
      <c r="BF107" t="str">
        <f>"   0.012"</f>
        <v xml:space="preserve">   0.012</v>
      </c>
      <c r="BG107" t="str">
        <f>"   3.600"</f>
        <v xml:space="preserve">   3.600</v>
      </c>
      <c r="BH107" t="str">
        <f t="shared" si="93"/>
        <v>しない</v>
      </c>
      <c r="BI107" t="str">
        <f>""</f>
        <v/>
      </c>
      <c r="BJ107" t="str">
        <f t="shared" si="94"/>
        <v>MASTER01</v>
      </c>
      <c r="BK107" t="str">
        <f>"2023/01/17"</f>
        <v>2023/01/17</v>
      </c>
      <c r="BL107" t="str">
        <f t="shared" si="95"/>
        <v>NE00</v>
      </c>
      <c r="BM107" t="str">
        <f t="shared" si="96"/>
        <v>１工工務Ｇ</v>
      </c>
      <c r="BN107" t="str">
        <f t="shared" si="97"/>
        <v>46548</v>
      </c>
      <c r="BO107" t="str">
        <f t="shared" si="98"/>
        <v>長畑　玲奈</v>
      </c>
    </row>
    <row r="108" spans="1:67">
      <c r="A108" t="s">
        <v>204</v>
      </c>
      <c r="B108" t="str">
        <f>""</f>
        <v/>
      </c>
      <c r="C108" t="str">
        <f>""</f>
        <v/>
      </c>
      <c r="D108" t="s">
        <v>50</v>
      </c>
      <c r="E108" t="str">
        <f t="shared" si="69"/>
        <v>1Y</v>
      </c>
      <c r="F108" t="str">
        <f t="shared" si="70"/>
        <v>第１工場</v>
      </c>
      <c r="G108" t="str">
        <f t="shared" si="71"/>
        <v>手配</v>
      </c>
      <c r="H108" t="str">
        <f t="shared" si="72"/>
        <v>Ｐ</v>
      </c>
      <c r="I108" t="str">
        <f>"2038"</f>
        <v>2038</v>
      </c>
      <c r="J108" t="str">
        <f>"アイシン機工（株）"</f>
        <v>アイシン機工（株）</v>
      </c>
      <c r="K108" t="str">
        <f>"06"</f>
        <v>06</v>
      </c>
      <c r="L108" t="str">
        <f>"吉良工場"</f>
        <v>吉良工場</v>
      </c>
      <c r="M108" t="str">
        <f t="shared" si="124"/>
        <v>――</v>
      </c>
      <c r="N108" t="str">
        <f t="shared" si="124"/>
        <v>――</v>
      </c>
      <c r="O108" t="str">
        <f t="shared" si="77"/>
        <v>Ｍ</v>
      </c>
      <c r="P108" t="str">
        <f t="shared" si="78"/>
        <v>01</v>
      </c>
      <c r="Q108" t="str">
        <f t="shared" si="79"/>
        <v>第１</v>
      </c>
      <c r="R108" t="str">
        <f t="shared" si="80"/>
        <v>1Y</v>
      </c>
      <c r="S108" t="str">
        <f t="shared" si="81"/>
        <v>安城第１工場</v>
      </c>
      <c r="T108" t="str">
        <f t="shared" si="82"/>
        <v>直接</v>
      </c>
      <c r="U108" t="str">
        <f>""</f>
        <v/>
      </c>
      <c r="V108" t="str">
        <f>""</f>
        <v/>
      </c>
      <c r="W108" t="str">
        <f>""</f>
        <v/>
      </c>
      <c r="X108">
        <v>1</v>
      </c>
      <c r="Y108">
        <v>6</v>
      </c>
      <c r="Z108">
        <v>4.92</v>
      </c>
      <c r="AA108">
        <v>0.91</v>
      </c>
      <c r="AB108">
        <v>3</v>
      </c>
      <c r="AC108">
        <v>0.91</v>
      </c>
      <c r="AD108">
        <v>0.91</v>
      </c>
      <c r="AE108">
        <v>1.1000000000000001</v>
      </c>
      <c r="AF108">
        <v>0.5</v>
      </c>
      <c r="AG108" t="str">
        <f>"026"</f>
        <v>026</v>
      </c>
      <c r="AH108" t="str">
        <f>"アイシン機工（株）"</f>
        <v>アイシン機工（株）</v>
      </c>
      <c r="AI108" t="str">
        <f>"001"</f>
        <v>001</v>
      </c>
      <c r="AJ108" t="str">
        <f>"S-G-25"</f>
        <v>S-G-25</v>
      </c>
      <c r="AK108" t="str">
        <f>"40426"</f>
        <v>40426</v>
      </c>
      <c r="AL108" t="str">
        <f>"0427"</f>
        <v>0427</v>
      </c>
      <c r="AM108" t="str">
        <f>"ｼｬﾌﾄｱｳﾄﾌﾟｯﾄ"</f>
        <v>ｼｬﾌﾄｱｳﾄﾌﾟｯﾄ</v>
      </c>
      <c r="AN108" t="str">
        <f>"060"</f>
        <v>060</v>
      </c>
      <c r="AO108" t="str">
        <f>"TP-341 ﾊﾝﾖｳ"</f>
        <v>TP-341 ﾊﾝﾖｳ</v>
      </c>
      <c r="AP108">
        <v>4</v>
      </c>
      <c r="AQ108" t="str">
        <f>""</f>
        <v/>
      </c>
      <c r="AR108" t="str">
        <f>""</f>
        <v/>
      </c>
      <c r="AS108" t="str">
        <f>""</f>
        <v/>
      </c>
      <c r="AT108" t="str">
        <f t="shared" si="87"/>
        <v>00</v>
      </c>
      <c r="AU108">
        <v>0.5</v>
      </c>
      <c r="AV108" t="str">
        <f>""</f>
        <v/>
      </c>
      <c r="AW108" t="str">
        <f>"08"</f>
        <v>08</v>
      </c>
      <c r="AX108" t="str">
        <f>"専用"</f>
        <v>専用</v>
      </c>
      <c r="AY108" t="str">
        <f>"01"</f>
        <v>01</v>
      </c>
      <c r="AZ108" t="str">
        <f>"後補充"</f>
        <v>後補充</v>
      </c>
      <c r="BA108" t="str">
        <f>""</f>
        <v/>
      </c>
      <c r="BB108" t="str">
        <f>"ＴＰ３４１フタナシ"</f>
        <v>ＴＰ３４１フタナシ</v>
      </c>
      <c r="BC108" t="str">
        <f t="shared" si="122"/>
        <v xml:space="preserve"> 335.000</v>
      </c>
      <c r="BD108" t="str">
        <f>" 503.000"</f>
        <v xml:space="preserve"> 503.000</v>
      </c>
      <c r="BE108" t="str">
        <f t="shared" si="123"/>
        <v xml:space="preserve"> 103.000</v>
      </c>
      <c r="BF108" t="str">
        <f>"   0.017"</f>
        <v xml:space="preserve">   0.017</v>
      </c>
      <c r="BG108" t="str">
        <f>"  10.500"</f>
        <v xml:space="preserve">  10.500</v>
      </c>
      <c r="BH108" t="str">
        <f t="shared" si="93"/>
        <v>しない</v>
      </c>
      <c r="BI108" t="str">
        <f>""</f>
        <v/>
      </c>
      <c r="BJ108" t="str">
        <f t="shared" si="94"/>
        <v>MASTER01</v>
      </c>
      <c r="BK108" t="str">
        <f>"2022/04/19"</f>
        <v>2022/04/19</v>
      </c>
      <c r="BL108" t="str">
        <f t="shared" si="95"/>
        <v>NE00</v>
      </c>
      <c r="BM108" t="str">
        <f t="shared" si="96"/>
        <v>１工工務Ｇ</v>
      </c>
      <c r="BN108" t="str">
        <f t="shared" si="97"/>
        <v>46548</v>
      </c>
      <c r="BO108" t="str">
        <f t="shared" si="98"/>
        <v>長畑　玲奈</v>
      </c>
    </row>
    <row r="109" spans="1:67">
      <c r="A109" t="s">
        <v>205</v>
      </c>
      <c r="B109" t="str">
        <f>""</f>
        <v/>
      </c>
      <c r="C109" t="str">
        <f>""</f>
        <v/>
      </c>
      <c r="D109" t="s">
        <v>50</v>
      </c>
      <c r="E109" t="str">
        <f t="shared" si="69"/>
        <v>1Y</v>
      </c>
      <c r="F109" t="str">
        <f t="shared" si="70"/>
        <v>第１工場</v>
      </c>
      <c r="G109" t="str">
        <f t="shared" si="71"/>
        <v>手配</v>
      </c>
      <c r="H109" t="str">
        <f t="shared" si="72"/>
        <v>Ｐ</v>
      </c>
      <c r="I109" t="str">
        <f>"2038"</f>
        <v>2038</v>
      </c>
      <c r="J109" t="str">
        <f>"アイシン機工（株）"</f>
        <v>アイシン機工（株）</v>
      </c>
      <c r="K109" t="str">
        <f>"06"</f>
        <v>06</v>
      </c>
      <c r="L109" t="str">
        <f>"吉良工場"</f>
        <v>吉良工場</v>
      </c>
      <c r="M109" t="str">
        <f t="shared" si="124"/>
        <v>――</v>
      </c>
      <c r="N109" t="str">
        <f t="shared" si="124"/>
        <v>――</v>
      </c>
      <c r="O109" t="str">
        <f t="shared" si="77"/>
        <v>Ｍ</v>
      </c>
      <c r="P109" t="str">
        <f t="shared" si="78"/>
        <v>01</v>
      </c>
      <c r="Q109" t="str">
        <f t="shared" si="79"/>
        <v>第１</v>
      </c>
      <c r="R109" t="str">
        <f t="shared" si="80"/>
        <v>1Y</v>
      </c>
      <c r="S109" t="str">
        <f t="shared" si="81"/>
        <v>安城第１工場</v>
      </c>
      <c r="T109" t="str">
        <f t="shared" si="82"/>
        <v>直接</v>
      </c>
      <c r="U109" t="str">
        <f>""</f>
        <v/>
      </c>
      <c r="V109" t="str">
        <f>""</f>
        <v/>
      </c>
      <c r="W109" t="str">
        <f>""</f>
        <v/>
      </c>
      <c r="X109">
        <v>1</v>
      </c>
      <c r="Y109">
        <v>6</v>
      </c>
      <c r="Z109">
        <v>4.92</v>
      </c>
      <c r="AA109">
        <v>0.91</v>
      </c>
      <c r="AB109">
        <v>3</v>
      </c>
      <c r="AC109">
        <v>0.91</v>
      </c>
      <c r="AD109">
        <v>0.91</v>
      </c>
      <c r="AE109">
        <v>1.1000000000000001</v>
      </c>
      <c r="AF109">
        <v>0.5</v>
      </c>
      <c r="AG109" t="str">
        <f>"026"</f>
        <v>026</v>
      </c>
      <c r="AH109" t="str">
        <f>"アイシン機工（株）"</f>
        <v>アイシン機工（株）</v>
      </c>
      <c r="AI109" t="str">
        <f>"002"</f>
        <v>002</v>
      </c>
      <c r="AJ109" t="str">
        <f>"S-G-24"</f>
        <v>S-G-24</v>
      </c>
      <c r="AK109" t="str">
        <f>"40427"</f>
        <v>40427</v>
      </c>
      <c r="AL109" t="str">
        <f>"0427"</f>
        <v>0427</v>
      </c>
      <c r="AM109" t="str">
        <f>"ｼｬﾌﾄｱｳﾄﾌﾟｯﾄ"</f>
        <v>ｼｬﾌﾄｱｳﾄﾌﾟｯﾄ</v>
      </c>
      <c r="AN109" t="str">
        <f>"060"</f>
        <v>060</v>
      </c>
      <c r="AO109" t="str">
        <f>"TP-341 ﾊﾝﾖｳ"</f>
        <v>TP-341 ﾊﾝﾖｳ</v>
      </c>
      <c r="AP109">
        <v>6</v>
      </c>
      <c r="AQ109" t="str">
        <f>""</f>
        <v/>
      </c>
      <c r="AR109" t="str">
        <f>""</f>
        <v/>
      </c>
      <c r="AS109" t="str">
        <f>""</f>
        <v/>
      </c>
      <c r="AT109" t="str">
        <f t="shared" si="87"/>
        <v>00</v>
      </c>
      <c r="AU109">
        <v>0.5</v>
      </c>
      <c r="AV109" t="str">
        <f>""</f>
        <v/>
      </c>
      <c r="AW109" t="str">
        <f>"08"</f>
        <v>08</v>
      </c>
      <c r="AX109" t="str">
        <f>"専用"</f>
        <v>専用</v>
      </c>
      <c r="AY109" t="str">
        <f>"01"</f>
        <v>01</v>
      </c>
      <c r="AZ109" t="str">
        <f>"後補充"</f>
        <v>後補充</v>
      </c>
      <c r="BA109" t="str">
        <f>""</f>
        <v/>
      </c>
      <c r="BB109" t="str">
        <f>"ＴＰ３４１フタナシ"</f>
        <v>ＴＰ３４１フタナシ</v>
      </c>
      <c r="BC109" t="str">
        <f t="shared" si="122"/>
        <v xml:space="preserve"> 335.000</v>
      </c>
      <c r="BD109" t="str">
        <f>" 503.000"</f>
        <v xml:space="preserve"> 503.000</v>
      </c>
      <c r="BE109" t="str">
        <f t="shared" si="123"/>
        <v xml:space="preserve"> 103.000</v>
      </c>
      <c r="BF109" t="str">
        <f>"   0.017"</f>
        <v xml:space="preserve">   0.017</v>
      </c>
      <c r="BG109" t="str">
        <f>"   9.600"</f>
        <v xml:space="preserve">   9.600</v>
      </c>
      <c r="BH109" t="str">
        <f t="shared" si="93"/>
        <v>しない</v>
      </c>
      <c r="BI109" t="str">
        <f>""</f>
        <v/>
      </c>
      <c r="BJ109" t="str">
        <f t="shared" si="94"/>
        <v>MASTER01</v>
      </c>
      <c r="BK109" t="str">
        <f>"2022/04/19"</f>
        <v>2022/04/19</v>
      </c>
      <c r="BL109" t="str">
        <f t="shared" si="95"/>
        <v>NE00</v>
      </c>
      <c r="BM109" t="str">
        <f t="shared" si="96"/>
        <v>１工工務Ｇ</v>
      </c>
      <c r="BN109" t="str">
        <f t="shared" si="97"/>
        <v>46548</v>
      </c>
      <c r="BO109" t="str">
        <f t="shared" si="98"/>
        <v>長畑　玲奈</v>
      </c>
    </row>
    <row r="110" spans="1:67">
      <c r="A110" t="s">
        <v>206</v>
      </c>
      <c r="B110" t="str">
        <f>""</f>
        <v/>
      </c>
      <c r="C110" t="str">
        <f>""</f>
        <v/>
      </c>
      <c r="D110" t="s">
        <v>51</v>
      </c>
      <c r="E110" t="str">
        <f t="shared" si="69"/>
        <v>1Y</v>
      </c>
      <c r="F110" t="str">
        <f t="shared" si="70"/>
        <v>第１工場</v>
      </c>
      <c r="G110" t="str">
        <f t="shared" si="71"/>
        <v>手配</v>
      </c>
      <c r="H110" t="str">
        <f t="shared" si="72"/>
        <v>Ｐ</v>
      </c>
      <c r="I110" t="str">
        <f t="shared" ref="I110:I115" si="125">"2041"</f>
        <v>2041</v>
      </c>
      <c r="J110" t="str">
        <f t="shared" ref="J110:J115" si="126">"（株）アイシン福井"</f>
        <v>（株）アイシン福井</v>
      </c>
      <c r="K110" t="str">
        <f t="shared" ref="K110:K126" si="127">"01"</f>
        <v>01</v>
      </c>
      <c r="L110" t="str">
        <f t="shared" ref="L110:L115" si="128">"本社工場"</f>
        <v>本社工場</v>
      </c>
      <c r="M110" t="str">
        <f t="shared" si="124"/>
        <v>――</v>
      </c>
      <c r="N110" t="str">
        <f t="shared" si="124"/>
        <v>――</v>
      </c>
      <c r="O110" t="str">
        <f t="shared" si="77"/>
        <v>Ｍ</v>
      </c>
      <c r="P110" t="str">
        <f t="shared" si="78"/>
        <v>01</v>
      </c>
      <c r="Q110" t="str">
        <f t="shared" si="79"/>
        <v>第１</v>
      </c>
      <c r="R110" t="str">
        <f t="shared" si="80"/>
        <v>1Y</v>
      </c>
      <c r="S110" t="str">
        <f t="shared" si="81"/>
        <v>安城第１工場</v>
      </c>
      <c r="T110" t="str">
        <f t="shared" si="82"/>
        <v>直接</v>
      </c>
      <c r="U110" t="str">
        <f>""</f>
        <v/>
      </c>
      <c r="V110" t="str">
        <f>""</f>
        <v/>
      </c>
      <c r="W110" t="str">
        <f>""</f>
        <v/>
      </c>
      <c r="X110">
        <v>1</v>
      </c>
      <c r="Y110">
        <v>24</v>
      </c>
      <c r="Z110">
        <v>19.68</v>
      </c>
      <c r="AA110">
        <v>0.83</v>
      </c>
      <c r="AB110">
        <v>3</v>
      </c>
      <c r="AC110">
        <v>0.83</v>
      </c>
      <c r="AD110">
        <v>0.83</v>
      </c>
      <c r="AE110">
        <v>1.1000000000000001</v>
      </c>
      <c r="AF110">
        <v>0.5</v>
      </c>
      <c r="AG110" t="str">
        <f t="shared" ref="AG110:AG115" si="129">"028"</f>
        <v>028</v>
      </c>
      <c r="AH110" t="str">
        <f t="shared" ref="AH110:AH115" si="130">"（株）アイシン福井"</f>
        <v>（株）アイシン福井</v>
      </c>
      <c r="AI110" t="str">
        <f>"005"</f>
        <v>005</v>
      </c>
      <c r="AJ110" t="str">
        <f>""</f>
        <v/>
      </c>
      <c r="AK110" t="str">
        <f>""</f>
        <v/>
      </c>
      <c r="AL110" t="str">
        <f>"0641"</f>
        <v>0641</v>
      </c>
      <c r="AM110" t="str">
        <f>"ｹ-ｽT/A"</f>
        <v>ｹ-ｽT/A</v>
      </c>
      <c r="AN110" t="str">
        <f t="shared" ref="AN110:AN115" si="131">"003"</f>
        <v>003</v>
      </c>
      <c r="AO110" t="str">
        <f t="shared" ref="AO110:AO115" si="132">"Aﾊﾟﾚ ﾊﾝﾖｳ"</f>
        <v>Aﾊﾟﾚ ﾊﾝﾖｳ</v>
      </c>
      <c r="AP110">
        <v>6</v>
      </c>
      <c r="AQ110" t="str">
        <f>""</f>
        <v/>
      </c>
      <c r="AR110" t="str">
        <f>""</f>
        <v/>
      </c>
      <c r="AS110" t="str">
        <f>""</f>
        <v/>
      </c>
      <c r="AT110" t="str">
        <f t="shared" si="87"/>
        <v>00</v>
      </c>
      <c r="AU110">
        <v>0.5</v>
      </c>
      <c r="AV110" t="str">
        <f>""</f>
        <v/>
      </c>
      <c r="AW110" t="str">
        <f>""</f>
        <v/>
      </c>
      <c r="AX110" t="str">
        <f>""</f>
        <v/>
      </c>
      <c r="AY110" t="str">
        <f>""</f>
        <v/>
      </c>
      <c r="AZ110" t="str">
        <f>""</f>
        <v/>
      </c>
      <c r="BA110" t="str">
        <f>""</f>
        <v/>
      </c>
      <c r="BB110" t="str">
        <f t="shared" ref="BB110:BB115" si="133">"Ａパレフタナシ"</f>
        <v>Ａパレフタナシ</v>
      </c>
      <c r="BC110" t="str">
        <f t="shared" ref="BC110:BC115" si="134">" 800.000"</f>
        <v xml:space="preserve"> 800.000</v>
      </c>
      <c r="BD110" t="str">
        <f t="shared" ref="BD110:BD115" si="135">"1000.000"</f>
        <v>1000.000</v>
      </c>
      <c r="BE110" t="str">
        <f t="shared" ref="BE110:BE115" si="136">" 850.000"</f>
        <v xml:space="preserve"> 850.000</v>
      </c>
      <c r="BF110" t="str">
        <f t="shared" ref="BF110:BF115" si="137">"   0.680"</f>
        <v xml:space="preserve">   0.680</v>
      </c>
      <c r="BG110" t="str">
        <f>"  72.000"</f>
        <v xml:space="preserve">  72.000</v>
      </c>
      <c r="BH110" t="str">
        <f t="shared" si="93"/>
        <v>しない</v>
      </c>
      <c r="BI110" t="str">
        <f>""</f>
        <v/>
      </c>
      <c r="BJ110" t="str">
        <f t="shared" si="94"/>
        <v>MASTER01</v>
      </c>
      <c r="BK110" t="str">
        <f>"2023/01/16"</f>
        <v>2023/01/16</v>
      </c>
      <c r="BL110" t="str">
        <f t="shared" si="95"/>
        <v>NE00</v>
      </c>
      <c r="BM110" t="str">
        <f t="shared" si="96"/>
        <v>１工工務Ｇ</v>
      </c>
      <c r="BN110" t="str">
        <f t="shared" si="97"/>
        <v>46548</v>
      </c>
      <c r="BO110" t="str">
        <f t="shared" si="98"/>
        <v>長畑　玲奈</v>
      </c>
    </row>
    <row r="111" spans="1:67">
      <c r="A111" t="s">
        <v>207</v>
      </c>
      <c r="B111" t="str">
        <f>""</f>
        <v/>
      </c>
      <c r="C111" t="str">
        <f>""</f>
        <v/>
      </c>
      <c r="D111" t="s">
        <v>51</v>
      </c>
      <c r="E111" t="str">
        <f t="shared" si="69"/>
        <v>1Y</v>
      </c>
      <c r="F111" t="str">
        <f t="shared" si="70"/>
        <v>第１工場</v>
      </c>
      <c r="G111" t="str">
        <f t="shared" si="71"/>
        <v>手配</v>
      </c>
      <c r="H111" t="str">
        <f t="shared" si="72"/>
        <v>Ｐ</v>
      </c>
      <c r="I111" t="str">
        <f t="shared" si="125"/>
        <v>2041</v>
      </c>
      <c r="J111" t="str">
        <f t="shared" si="126"/>
        <v>（株）アイシン福井</v>
      </c>
      <c r="K111" t="str">
        <f t="shared" si="127"/>
        <v>01</v>
      </c>
      <c r="L111" t="str">
        <f t="shared" si="128"/>
        <v>本社工場</v>
      </c>
      <c r="M111" t="str">
        <f t="shared" si="124"/>
        <v>――</v>
      </c>
      <c r="N111" t="str">
        <f t="shared" si="124"/>
        <v>――</v>
      </c>
      <c r="O111" t="str">
        <f t="shared" si="77"/>
        <v>Ｍ</v>
      </c>
      <c r="P111" t="str">
        <f t="shared" si="78"/>
        <v>01</v>
      </c>
      <c r="Q111" t="str">
        <f t="shared" si="79"/>
        <v>第１</v>
      </c>
      <c r="R111" t="str">
        <f t="shared" si="80"/>
        <v>1Y</v>
      </c>
      <c r="S111" t="str">
        <f t="shared" si="81"/>
        <v>安城第１工場</v>
      </c>
      <c r="T111" t="str">
        <f t="shared" si="82"/>
        <v>直接</v>
      </c>
      <c r="U111" t="str">
        <f>""</f>
        <v/>
      </c>
      <c r="V111" t="str">
        <f>""</f>
        <v/>
      </c>
      <c r="W111" t="str">
        <f>""</f>
        <v/>
      </c>
      <c r="X111">
        <v>1</v>
      </c>
      <c r="Y111">
        <v>24</v>
      </c>
      <c r="Z111">
        <v>19.68</v>
      </c>
      <c r="AA111">
        <v>0.83</v>
      </c>
      <c r="AB111">
        <v>3</v>
      </c>
      <c r="AC111">
        <v>0.83</v>
      </c>
      <c r="AD111">
        <v>0.83</v>
      </c>
      <c r="AE111">
        <v>1.1000000000000001</v>
      </c>
      <c r="AF111">
        <v>0.5</v>
      </c>
      <c r="AG111" t="str">
        <f t="shared" si="129"/>
        <v>028</v>
      </c>
      <c r="AH111" t="str">
        <f t="shared" si="130"/>
        <v>（株）アイシン福井</v>
      </c>
      <c r="AI111" t="str">
        <f>"001"</f>
        <v>001</v>
      </c>
      <c r="AJ111" t="str">
        <f>"S-CA-5"</f>
        <v>S-CA-5</v>
      </c>
      <c r="AK111" t="str">
        <f>"98004"</f>
        <v>98004</v>
      </c>
      <c r="AL111" t="str">
        <f>"0641"</f>
        <v>0641</v>
      </c>
      <c r="AM111" t="str">
        <f>"ｹ-ｽT/A"</f>
        <v>ｹ-ｽT/A</v>
      </c>
      <c r="AN111" t="str">
        <f t="shared" si="131"/>
        <v>003</v>
      </c>
      <c r="AO111" t="str">
        <f t="shared" si="132"/>
        <v>Aﾊﾟﾚ ﾊﾝﾖｳ</v>
      </c>
      <c r="AP111">
        <v>16</v>
      </c>
      <c r="AQ111" t="str">
        <f>""</f>
        <v/>
      </c>
      <c r="AR111" t="str">
        <f>""</f>
        <v/>
      </c>
      <c r="AS111" t="str">
        <f>""</f>
        <v/>
      </c>
      <c r="AT111" t="str">
        <f t="shared" si="87"/>
        <v>00</v>
      </c>
      <c r="AU111">
        <v>0.5</v>
      </c>
      <c r="AV111" t="str">
        <f>""</f>
        <v/>
      </c>
      <c r="AW111" t="str">
        <f>"08"</f>
        <v>08</v>
      </c>
      <c r="AX111" t="str">
        <f>"専用"</f>
        <v>専用</v>
      </c>
      <c r="AY111" t="str">
        <f>"01"</f>
        <v>01</v>
      </c>
      <c r="AZ111" t="str">
        <f>"後補充"</f>
        <v>後補充</v>
      </c>
      <c r="BA111" t="str">
        <f>""</f>
        <v/>
      </c>
      <c r="BB111" t="str">
        <f t="shared" si="133"/>
        <v>Ａパレフタナシ</v>
      </c>
      <c r="BC111" t="str">
        <f t="shared" si="134"/>
        <v xml:space="preserve"> 800.000</v>
      </c>
      <c r="BD111" t="str">
        <f t="shared" si="135"/>
        <v>1000.000</v>
      </c>
      <c r="BE111" t="str">
        <f t="shared" si="136"/>
        <v xml:space="preserve"> 850.000</v>
      </c>
      <c r="BF111" t="str">
        <f t="shared" si="137"/>
        <v xml:space="preserve">   0.680</v>
      </c>
      <c r="BG111" t="str">
        <f>" 164.536"</f>
        <v xml:space="preserve"> 164.536</v>
      </c>
      <c r="BH111" t="str">
        <f t="shared" si="93"/>
        <v>しない</v>
      </c>
      <c r="BI111" t="str">
        <f>""</f>
        <v/>
      </c>
      <c r="BJ111" t="str">
        <f t="shared" si="94"/>
        <v>MASTER01</v>
      </c>
      <c r="BK111" t="str">
        <f>"2022/06/16"</f>
        <v>2022/06/16</v>
      </c>
      <c r="BL111" t="str">
        <f t="shared" si="95"/>
        <v>NE00</v>
      </c>
      <c r="BM111" t="str">
        <f t="shared" si="96"/>
        <v>１工工務Ｇ</v>
      </c>
      <c r="BN111" t="str">
        <f>"34103"</f>
        <v>34103</v>
      </c>
      <c r="BO111" t="str">
        <f>"園　浩一"</f>
        <v>園　浩一</v>
      </c>
    </row>
    <row r="112" spans="1:67">
      <c r="A112" t="s">
        <v>208</v>
      </c>
      <c r="B112" t="str">
        <f>""</f>
        <v/>
      </c>
      <c r="C112" t="str">
        <f>""</f>
        <v/>
      </c>
      <c r="D112" t="s">
        <v>51</v>
      </c>
      <c r="E112" t="str">
        <f t="shared" si="69"/>
        <v>1Y</v>
      </c>
      <c r="F112" t="str">
        <f t="shared" si="70"/>
        <v>第１工場</v>
      </c>
      <c r="G112" t="str">
        <f t="shared" si="71"/>
        <v>手配</v>
      </c>
      <c r="H112" t="str">
        <f t="shared" si="72"/>
        <v>Ｐ</v>
      </c>
      <c r="I112" t="str">
        <f t="shared" si="125"/>
        <v>2041</v>
      </c>
      <c r="J112" t="str">
        <f t="shared" si="126"/>
        <v>（株）アイシン福井</v>
      </c>
      <c r="K112" t="str">
        <f t="shared" si="127"/>
        <v>01</v>
      </c>
      <c r="L112" t="str">
        <f t="shared" si="128"/>
        <v>本社工場</v>
      </c>
      <c r="M112" t="str">
        <f t="shared" si="124"/>
        <v>――</v>
      </c>
      <c r="N112" t="str">
        <f t="shared" si="124"/>
        <v>――</v>
      </c>
      <c r="O112" t="str">
        <f t="shared" si="77"/>
        <v>Ｍ</v>
      </c>
      <c r="P112" t="str">
        <f t="shared" si="78"/>
        <v>01</v>
      </c>
      <c r="Q112" t="str">
        <f t="shared" si="79"/>
        <v>第１</v>
      </c>
      <c r="R112" t="str">
        <f t="shared" si="80"/>
        <v>1Y</v>
      </c>
      <c r="S112" t="str">
        <f t="shared" si="81"/>
        <v>安城第１工場</v>
      </c>
      <c r="T112" t="str">
        <f t="shared" si="82"/>
        <v>直接</v>
      </c>
      <c r="U112" t="str">
        <f>""</f>
        <v/>
      </c>
      <c r="V112" t="str">
        <f>""</f>
        <v/>
      </c>
      <c r="W112" t="str">
        <f>""</f>
        <v/>
      </c>
      <c r="X112">
        <v>1</v>
      </c>
      <c r="Y112">
        <v>24</v>
      </c>
      <c r="Z112">
        <v>19.68</v>
      </c>
      <c r="AA112">
        <v>0.84</v>
      </c>
      <c r="AB112">
        <v>3</v>
      </c>
      <c r="AC112">
        <v>0.84</v>
      </c>
      <c r="AD112">
        <v>0.84</v>
      </c>
      <c r="AE112">
        <v>1.1000000000000001</v>
      </c>
      <c r="AF112">
        <v>0.5</v>
      </c>
      <c r="AG112" t="str">
        <f t="shared" si="129"/>
        <v>028</v>
      </c>
      <c r="AH112" t="str">
        <f t="shared" si="130"/>
        <v>（株）アイシン福井</v>
      </c>
      <c r="AI112" t="str">
        <f>"003"</f>
        <v>003</v>
      </c>
      <c r="AJ112" t="str">
        <f>"S-CA-7"</f>
        <v>S-CA-7</v>
      </c>
      <c r="AK112" t="str">
        <f>"98006"</f>
        <v>98006</v>
      </c>
      <c r="AL112" t="str">
        <f>"0641"</f>
        <v>0641</v>
      </c>
      <c r="AM112" t="str">
        <f>"ｹ-ｽT/A"</f>
        <v>ｹ-ｽT/A</v>
      </c>
      <c r="AN112" t="str">
        <f t="shared" si="131"/>
        <v>003</v>
      </c>
      <c r="AO112" t="str">
        <f t="shared" si="132"/>
        <v>Aﾊﾟﾚ ﾊﾝﾖｳ</v>
      </c>
      <c r="AP112">
        <v>20</v>
      </c>
      <c r="AQ112" t="str">
        <f>""</f>
        <v/>
      </c>
      <c r="AR112" t="str">
        <f>""</f>
        <v/>
      </c>
      <c r="AS112" t="str">
        <f>""</f>
        <v/>
      </c>
      <c r="AT112" t="str">
        <f t="shared" si="87"/>
        <v>00</v>
      </c>
      <c r="AU112">
        <v>0.5</v>
      </c>
      <c r="AV112" t="str">
        <f>""</f>
        <v/>
      </c>
      <c r="AW112" t="str">
        <f>"08"</f>
        <v>08</v>
      </c>
      <c r="AX112" t="str">
        <f>"専用"</f>
        <v>専用</v>
      </c>
      <c r="AY112" t="str">
        <f>"01"</f>
        <v>01</v>
      </c>
      <c r="AZ112" t="str">
        <f>"後補充"</f>
        <v>後補充</v>
      </c>
      <c r="BA112" t="str">
        <f>""</f>
        <v/>
      </c>
      <c r="BB112" t="str">
        <f t="shared" si="133"/>
        <v>Ａパレフタナシ</v>
      </c>
      <c r="BC112" t="str">
        <f t="shared" si="134"/>
        <v xml:space="preserve"> 800.000</v>
      </c>
      <c r="BD112" t="str">
        <f t="shared" si="135"/>
        <v>1000.000</v>
      </c>
      <c r="BE112" t="str">
        <f t="shared" si="136"/>
        <v xml:space="preserve"> 850.000</v>
      </c>
      <c r="BF112" t="str">
        <f t="shared" si="137"/>
        <v xml:space="preserve">   0.680</v>
      </c>
      <c r="BG112" t="str">
        <f>" 165.780"</f>
        <v xml:space="preserve"> 165.780</v>
      </c>
      <c r="BH112" t="str">
        <f t="shared" si="93"/>
        <v>しない</v>
      </c>
      <c r="BI112" t="str">
        <f>""</f>
        <v/>
      </c>
      <c r="BJ112" t="str">
        <f t="shared" si="94"/>
        <v>MASTER01</v>
      </c>
      <c r="BK112" t="str">
        <f>"2022/06/16"</f>
        <v>2022/06/16</v>
      </c>
      <c r="BL112" t="str">
        <f t="shared" si="95"/>
        <v>NE00</v>
      </c>
      <c r="BM112" t="str">
        <f t="shared" si="96"/>
        <v>１工工務Ｇ</v>
      </c>
      <c r="BN112" t="str">
        <f>"34103"</f>
        <v>34103</v>
      </c>
      <c r="BO112" t="str">
        <f>"園　浩一"</f>
        <v>園　浩一</v>
      </c>
    </row>
    <row r="113" spans="1:67">
      <c r="A113" t="s">
        <v>209</v>
      </c>
      <c r="B113" t="str">
        <f>""</f>
        <v/>
      </c>
      <c r="C113" t="str">
        <f>""</f>
        <v/>
      </c>
      <c r="D113" t="s">
        <v>52</v>
      </c>
      <c r="E113" t="str">
        <f t="shared" si="69"/>
        <v>1Y</v>
      </c>
      <c r="F113" t="str">
        <f t="shared" si="70"/>
        <v>第１工場</v>
      </c>
      <c r="G113" t="str">
        <f t="shared" si="71"/>
        <v>手配</v>
      </c>
      <c r="H113" t="str">
        <f t="shared" si="72"/>
        <v>Ｐ</v>
      </c>
      <c r="I113" t="str">
        <f t="shared" si="125"/>
        <v>2041</v>
      </c>
      <c r="J113" t="str">
        <f t="shared" si="126"/>
        <v>（株）アイシン福井</v>
      </c>
      <c r="K113" t="str">
        <f t="shared" si="127"/>
        <v>01</v>
      </c>
      <c r="L113" t="str">
        <f t="shared" si="128"/>
        <v>本社工場</v>
      </c>
      <c r="M113" t="str">
        <f t="shared" si="124"/>
        <v>――</v>
      </c>
      <c r="N113" t="str">
        <f t="shared" si="124"/>
        <v>――</v>
      </c>
      <c r="O113" t="str">
        <f t="shared" si="77"/>
        <v>Ｍ</v>
      </c>
      <c r="P113" t="str">
        <f t="shared" si="78"/>
        <v>01</v>
      </c>
      <c r="Q113" t="str">
        <f t="shared" si="79"/>
        <v>第１</v>
      </c>
      <c r="R113" t="str">
        <f t="shared" si="80"/>
        <v>1Y</v>
      </c>
      <c r="S113" t="str">
        <f t="shared" si="81"/>
        <v>安城第１工場</v>
      </c>
      <c r="T113" t="str">
        <f t="shared" si="82"/>
        <v>直接</v>
      </c>
      <c r="U113" t="str">
        <f>""</f>
        <v/>
      </c>
      <c r="V113" t="str">
        <f>""</f>
        <v/>
      </c>
      <c r="W113" t="str">
        <f>""</f>
        <v/>
      </c>
      <c r="X113">
        <v>1</v>
      </c>
      <c r="Y113">
        <v>24</v>
      </c>
      <c r="Z113">
        <v>19.68</v>
      </c>
      <c r="AA113">
        <v>0.83</v>
      </c>
      <c r="AB113">
        <v>3</v>
      </c>
      <c r="AC113">
        <v>0.83</v>
      </c>
      <c r="AD113">
        <v>0.83</v>
      </c>
      <c r="AE113">
        <v>1.1000000000000001</v>
      </c>
      <c r="AF113">
        <v>0.5</v>
      </c>
      <c r="AG113" t="str">
        <f t="shared" si="129"/>
        <v>028</v>
      </c>
      <c r="AH113" t="str">
        <f t="shared" si="130"/>
        <v>（株）アイシン福井</v>
      </c>
      <c r="AI113" t="str">
        <f>"006"</f>
        <v>006</v>
      </c>
      <c r="AJ113" t="str">
        <f>""</f>
        <v/>
      </c>
      <c r="AK113" t="str">
        <f>""</f>
        <v/>
      </c>
      <c r="AL113" t="str">
        <f>"9202"</f>
        <v>9202</v>
      </c>
      <c r="AM113" t="s">
        <v>52</v>
      </c>
      <c r="AN113" t="str">
        <f t="shared" si="131"/>
        <v>003</v>
      </c>
      <c r="AO113" t="str">
        <f t="shared" si="132"/>
        <v>Aﾊﾟﾚ ﾊﾝﾖｳ</v>
      </c>
      <c r="AP113">
        <v>36</v>
      </c>
      <c r="AQ113" t="str">
        <f>""</f>
        <v/>
      </c>
      <c r="AR113" t="str">
        <f>""</f>
        <v/>
      </c>
      <c r="AS113" t="str">
        <f>""</f>
        <v/>
      </c>
      <c r="AT113" t="str">
        <f t="shared" si="87"/>
        <v>00</v>
      </c>
      <c r="AU113">
        <v>0.5</v>
      </c>
      <c r="AV113" t="str">
        <f>""</f>
        <v/>
      </c>
      <c r="AW113" t="str">
        <f>""</f>
        <v/>
      </c>
      <c r="AX113" t="str">
        <f>""</f>
        <v/>
      </c>
      <c r="AY113" t="str">
        <f>""</f>
        <v/>
      </c>
      <c r="AZ113" t="str">
        <f>""</f>
        <v/>
      </c>
      <c r="BA113" t="str">
        <f>""</f>
        <v/>
      </c>
      <c r="BB113" t="str">
        <f t="shared" si="133"/>
        <v>Ａパレフタナシ</v>
      </c>
      <c r="BC113" t="str">
        <f t="shared" si="134"/>
        <v xml:space="preserve"> 800.000</v>
      </c>
      <c r="BD113" t="str">
        <f t="shared" si="135"/>
        <v>1000.000</v>
      </c>
      <c r="BE113" t="str">
        <f t="shared" si="136"/>
        <v xml:space="preserve"> 850.000</v>
      </c>
      <c r="BF113" t="str">
        <f t="shared" si="137"/>
        <v xml:space="preserve">   0.680</v>
      </c>
      <c r="BG113" t="str">
        <f>" 140.000"</f>
        <v xml:space="preserve"> 140.000</v>
      </c>
      <c r="BH113" t="str">
        <f t="shared" si="93"/>
        <v>しない</v>
      </c>
      <c r="BI113" t="str">
        <f>""</f>
        <v/>
      </c>
      <c r="BJ113" t="str">
        <f t="shared" si="94"/>
        <v>MASTER01</v>
      </c>
      <c r="BK113" t="str">
        <f>"2023/01/17"</f>
        <v>2023/01/17</v>
      </c>
      <c r="BL113" t="str">
        <f t="shared" si="95"/>
        <v>NE00</v>
      </c>
      <c r="BM113" t="str">
        <f t="shared" si="96"/>
        <v>１工工務Ｇ</v>
      </c>
      <c r="BN113" t="str">
        <f>"46548"</f>
        <v>46548</v>
      </c>
      <c r="BO113" t="str">
        <f>"長畑　玲奈"</f>
        <v>長畑　玲奈</v>
      </c>
    </row>
    <row r="114" spans="1:67">
      <c r="A114" t="s">
        <v>210</v>
      </c>
      <c r="B114" t="str">
        <f>""</f>
        <v/>
      </c>
      <c r="C114" t="str">
        <f>""</f>
        <v/>
      </c>
      <c r="D114" t="s">
        <v>52</v>
      </c>
      <c r="E114" t="str">
        <f t="shared" si="69"/>
        <v>1Y</v>
      </c>
      <c r="F114" t="str">
        <f t="shared" si="70"/>
        <v>第１工場</v>
      </c>
      <c r="G114" t="str">
        <f t="shared" si="71"/>
        <v>手配</v>
      </c>
      <c r="H114" t="str">
        <f t="shared" si="72"/>
        <v>Ｐ</v>
      </c>
      <c r="I114" t="str">
        <f t="shared" si="125"/>
        <v>2041</v>
      </c>
      <c r="J114" t="str">
        <f t="shared" si="126"/>
        <v>（株）アイシン福井</v>
      </c>
      <c r="K114" t="str">
        <f t="shared" si="127"/>
        <v>01</v>
      </c>
      <c r="L114" t="str">
        <f t="shared" si="128"/>
        <v>本社工場</v>
      </c>
      <c r="M114" t="str">
        <f t="shared" si="124"/>
        <v>――</v>
      </c>
      <c r="N114" t="str">
        <f t="shared" si="124"/>
        <v>――</v>
      </c>
      <c r="O114" t="str">
        <f t="shared" si="77"/>
        <v>Ｍ</v>
      </c>
      <c r="P114" t="str">
        <f t="shared" si="78"/>
        <v>01</v>
      </c>
      <c r="Q114" t="str">
        <f t="shared" si="79"/>
        <v>第１</v>
      </c>
      <c r="R114" t="str">
        <f t="shared" si="80"/>
        <v>1Y</v>
      </c>
      <c r="S114" t="str">
        <f t="shared" si="81"/>
        <v>安城第１工場</v>
      </c>
      <c r="T114" t="str">
        <f t="shared" si="82"/>
        <v>直接</v>
      </c>
      <c r="U114" t="str">
        <f>""</f>
        <v/>
      </c>
      <c r="V114" t="str">
        <f>""</f>
        <v/>
      </c>
      <c r="W114" t="str">
        <f>""</f>
        <v/>
      </c>
      <c r="X114">
        <v>1</v>
      </c>
      <c r="Y114">
        <v>24</v>
      </c>
      <c r="Z114">
        <v>19.68</v>
      </c>
      <c r="AA114">
        <v>0.83</v>
      </c>
      <c r="AB114">
        <v>3</v>
      </c>
      <c r="AC114">
        <v>0.83</v>
      </c>
      <c r="AD114">
        <v>0.83</v>
      </c>
      <c r="AE114">
        <v>1.1000000000000001</v>
      </c>
      <c r="AF114">
        <v>0.5</v>
      </c>
      <c r="AG114" t="str">
        <f t="shared" si="129"/>
        <v>028</v>
      </c>
      <c r="AH114" t="str">
        <f t="shared" si="130"/>
        <v>（株）アイシン福井</v>
      </c>
      <c r="AI114" t="str">
        <f>"002"</f>
        <v>002</v>
      </c>
      <c r="AJ114" t="str">
        <f>"S-CA-4"</f>
        <v>S-CA-4</v>
      </c>
      <c r="AK114" t="str">
        <f>"98003"</f>
        <v>98003</v>
      </c>
      <c r="AL114" t="str">
        <f>"9202"</f>
        <v>9202</v>
      </c>
      <c r="AM114" t="s">
        <v>53</v>
      </c>
      <c r="AN114" t="str">
        <f t="shared" si="131"/>
        <v>003</v>
      </c>
      <c r="AO114" t="str">
        <f t="shared" si="132"/>
        <v>Aﾊﾟﾚ ﾊﾝﾖｳ</v>
      </c>
      <c r="AP114">
        <v>16</v>
      </c>
      <c r="AQ114" t="str">
        <f>""</f>
        <v/>
      </c>
      <c r="AR114" t="str">
        <f>""</f>
        <v/>
      </c>
      <c r="AS114" t="str">
        <f>""</f>
        <v/>
      </c>
      <c r="AT114" t="str">
        <f t="shared" si="87"/>
        <v>00</v>
      </c>
      <c r="AU114">
        <v>0.5</v>
      </c>
      <c r="AV114" t="str">
        <f>""</f>
        <v/>
      </c>
      <c r="AW114" t="str">
        <f t="shared" ref="AW114:AW119" si="138">"08"</f>
        <v>08</v>
      </c>
      <c r="AX114" t="str">
        <f t="shared" ref="AX114:AX119" si="139">"専用"</f>
        <v>専用</v>
      </c>
      <c r="AY114" t="str">
        <f t="shared" ref="AY114:AY119" si="140">"01"</f>
        <v>01</v>
      </c>
      <c r="AZ114" t="str">
        <f t="shared" ref="AZ114:AZ119" si="141">"後補充"</f>
        <v>後補充</v>
      </c>
      <c r="BA114" t="str">
        <f>""</f>
        <v/>
      </c>
      <c r="BB114" t="str">
        <f t="shared" si="133"/>
        <v>Ａパレフタナシ</v>
      </c>
      <c r="BC114" t="str">
        <f t="shared" si="134"/>
        <v xml:space="preserve"> 800.000</v>
      </c>
      <c r="BD114" t="str">
        <f t="shared" si="135"/>
        <v>1000.000</v>
      </c>
      <c r="BE114" t="str">
        <f t="shared" si="136"/>
        <v xml:space="preserve"> 850.000</v>
      </c>
      <c r="BF114" t="str">
        <f t="shared" si="137"/>
        <v xml:space="preserve">   0.680</v>
      </c>
      <c r="BG114" t="str">
        <f>" 137.704"</f>
        <v xml:space="preserve"> 137.704</v>
      </c>
      <c r="BH114" t="str">
        <f t="shared" si="93"/>
        <v>しない</v>
      </c>
      <c r="BI114" t="str">
        <f>""</f>
        <v/>
      </c>
      <c r="BJ114" t="str">
        <f t="shared" si="94"/>
        <v>MASTER01</v>
      </c>
      <c r="BK114" t="str">
        <f>"2022/06/16"</f>
        <v>2022/06/16</v>
      </c>
      <c r="BL114" t="str">
        <f t="shared" si="95"/>
        <v>NE00</v>
      </c>
      <c r="BM114" t="str">
        <f t="shared" si="96"/>
        <v>１工工務Ｇ</v>
      </c>
      <c r="BN114" t="str">
        <f>"34103"</f>
        <v>34103</v>
      </c>
      <c r="BO114" t="str">
        <f>"園　浩一"</f>
        <v>園　浩一</v>
      </c>
    </row>
    <row r="115" spans="1:67">
      <c r="A115" t="s">
        <v>211</v>
      </c>
      <c r="B115" t="str">
        <f>""</f>
        <v/>
      </c>
      <c r="C115" t="str">
        <f>""</f>
        <v/>
      </c>
      <c r="D115" t="s">
        <v>52</v>
      </c>
      <c r="E115" t="str">
        <f t="shared" si="69"/>
        <v>1Y</v>
      </c>
      <c r="F115" t="str">
        <f t="shared" si="70"/>
        <v>第１工場</v>
      </c>
      <c r="G115" t="str">
        <f t="shared" si="71"/>
        <v>手配</v>
      </c>
      <c r="H115" t="str">
        <f t="shared" si="72"/>
        <v>Ｐ</v>
      </c>
      <c r="I115" t="str">
        <f t="shared" si="125"/>
        <v>2041</v>
      </c>
      <c r="J115" t="str">
        <f t="shared" si="126"/>
        <v>（株）アイシン福井</v>
      </c>
      <c r="K115" t="str">
        <f t="shared" si="127"/>
        <v>01</v>
      </c>
      <c r="L115" t="str">
        <f t="shared" si="128"/>
        <v>本社工場</v>
      </c>
      <c r="M115" t="str">
        <f t="shared" si="124"/>
        <v>――</v>
      </c>
      <c r="N115" t="str">
        <f t="shared" si="124"/>
        <v>――</v>
      </c>
      <c r="O115" t="str">
        <f t="shared" si="77"/>
        <v>Ｍ</v>
      </c>
      <c r="P115" t="str">
        <f t="shared" si="78"/>
        <v>01</v>
      </c>
      <c r="Q115" t="str">
        <f t="shared" si="79"/>
        <v>第１</v>
      </c>
      <c r="R115" t="str">
        <f t="shared" si="80"/>
        <v>1Y</v>
      </c>
      <c r="S115" t="str">
        <f t="shared" si="81"/>
        <v>安城第１工場</v>
      </c>
      <c r="T115" t="str">
        <f t="shared" si="82"/>
        <v>直接</v>
      </c>
      <c r="U115" t="str">
        <f>""</f>
        <v/>
      </c>
      <c r="V115" t="str">
        <f>""</f>
        <v/>
      </c>
      <c r="W115" t="str">
        <f>""</f>
        <v/>
      </c>
      <c r="X115">
        <v>1</v>
      </c>
      <c r="Y115">
        <v>24</v>
      </c>
      <c r="Z115">
        <v>19.68</v>
      </c>
      <c r="AA115">
        <v>0.84</v>
      </c>
      <c r="AB115">
        <v>3</v>
      </c>
      <c r="AC115">
        <v>0.84</v>
      </c>
      <c r="AD115">
        <v>0.84</v>
      </c>
      <c r="AE115">
        <v>1.1000000000000001</v>
      </c>
      <c r="AF115">
        <v>0.5</v>
      </c>
      <c r="AG115" t="str">
        <f t="shared" si="129"/>
        <v>028</v>
      </c>
      <c r="AH115" t="str">
        <f t="shared" si="130"/>
        <v>（株）アイシン福井</v>
      </c>
      <c r="AI115" t="str">
        <f>"004"</f>
        <v>004</v>
      </c>
      <c r="AJ115" t="str">
        <f>"S-CA-6"</f>
        <v>S-CA-6</v>
      </c>
      <c r="AK115" t="str">
        <f>"98005"</f>
        <v>98005</v>
      </c>
      <c r="AL115" t="str">
        <f>"9202"</f>
        <v>9202</v>
      </c>
      <c r="AM115" t="s">
        <v>53</v>
      </c>
      <c r="AN115" t="str">
        <f t="shared" si="131"/>
        <v>003</v>
      </c>
      <c r="AO115" t="str">
        <f t="shared" si="132"/>
        <v>Aﾊﾟﾚ ﾊﾝﾖｳ</v>
      </c>
      <c r="AP115">
        <v>20</v>
      </c>
      <c r="AQ115" t="str">
        <f>""</f>
        <v/>
      </c>
      <c r="AR115" t="str">
        <f>""</f>
        <v/>
      </c>
      <c r="AS115" t="str">
        <f>""</f>
        <v/>
      </c>
      <c r="AT115" t="str">
        <f t="shared" si="87"/>
        <v>00</v>
      </c>
      <c r="AU115">
        <v>0.5</v>
      </c>
      <c r="AV115" t="str">
        <f>""</f>
        <v/>
      </c>
      <c r="AW115" t="str">
        <f t="shared" si="138"/>
        <v>08</v>
      </c>
      <c r="AX115" t="str">
        <f t="shared" si="139"/>
        <v>専用</v>
      </c>
      <c r="AY115" t="str">
        <f t="shared" si="140"/>
        <v>01</v>
      </c>
      <c r="AZ115" t="str">
        <f t="shared" si="141"/>
        <v>後補充</v>
      </c>
      <c r="BA115" t="str">
        <f>""</f>
        <v/>
      </c>
      <c r="BB115" t="str">
        <f t="shared" si="133"/>
        <v>Ａパレフタナシ</v>
      </c>
      <c r="BC115" t="str">
        <f t="shared" si="134"/>
        <v xml:space="preserve"> 800.000</v>
      </c>
      <c r="BD115" t="str">
        <f t="shared" si="135"/>
        <v>1000.000</v>
      </c>
      <c r="BE115" t="str">
        <f t="shared" si="136"/>
        <v xml:space="preserve"> 850.000</v>
      </c>
      <c r="BF115" t="str">
        <f t="shared" si="137"/>
        <v xml:space="preserve">   0.680</v>
      </c>
      <c r="BG115" t="str">
        <f>" 138.900"</f>
        <v xml:space="preserve"> 138.900</v>
      </c>
      <c r="BH115" t="str">
        <f t="shared" si="93"/>
        <v>しない</v>
      </c>
      <c r="BI115" t="str">
        <f>""</f>
        <v/>
      </c>
      <c r="BJ115" t="str">
        <f t="shared" si="94"/>
        <v>MASTER01</v>
      </c>
      <c r="BK115" t="str">
        <f>"2022/06/16"</f>
        <v>2022/06/16</v>
      </c>
      <c r="BL115" t="str">
        <f t="shared" si="95"/>
        <v>NE00</v>
      </c>
      <c r="BM115" t="str">
        <f t="shared" si="96"/>
        <v>１工工務Ｇ</v>
      </c>
      <c r="BN115" t="str">
        <f>"34103"</f>
        <v>34103</v>
      </c>
      <c r="BO115" t="str">
        <f>"園　浩一"</f>
        <v>園　浩一</v>
      </c>
    </row>
    <row r="116" spans="1:67">
      <c r="A116" t="s">
        <v>212</v>
      </c>
      <c r="B116" t="str">
        <f>""</f>
        <v/>
      </c>
      <c r="C116" t="str">
        <f>""</f>
        <v/>
      </c>
      <c r="D116" t="s">
        <v>23</v>
      </c>
      <c r="E116" t="str">
        <f t="shared" si="69"/>
        <v>1Y</v>
      </c>
      <c r="F116" t="str">
        <f t="shared" si="70"/>
        <v>第１工場</v>
      </c>
      <c r="G116" t="str">
        <f t="shared" si="71"/>
        <v>手配</v>
      </c>
      <c r="H116" t="str">
        <f t="shared" si="72"/>
        <v>Ｐ</v>
      </c>
      <c r="I116" t="str">
        <f>"2242"</f>
        <v>2242</v>
      </c>
      <c r="J116" t="str">
        <f>"新光ゴム工業（株）"</f>
        <v>新光ゴム工業（株）</v>
      </c>
      <c r="K116" t="str">
        <f t="shared" si="127"/>
        <v>01</v>
      </c>
      <c r="L116" t="str">
        <f>"本社"</f>
        <v>本社</v>
      </c>
      <c r="M116" t="str">
        <f t="shared" si="124"/>
        <v>――</v>
      </c>
      <c r="N116" t="str">
        <f t="shared" si="124"/>
        <v>――</v>
      </c>
      <c r="O116" t="str">
        <f t="shared" si="77"/>
        <v>Ｍ</v>
      </c>
      <c r="P116" t="str">
        <f t="shared" si="78"/>
        <v>01</v>
      </c>
      <c r="Q116" t="str">
        <f t="shared" si="79"/>
        <v>第１</v>
      </c>
      <c r="R116" t="str">
        <f t="shared" si="80"/>
        <v>1Y</v>
      </c>
      <c r="S116" t="str">
        <f t="shared" si="81"/>
        <v>安城第１工場</v>
      </c>
      <c r="T116" t="str">
        <f t="shared" si="82"/>
        <v>直接</v>
      </c>
      <c r="U116" t="str">
        <f>""</f>
        <v/>
      </c>
      <c r="V116" t="str">
        <f>""</f>
        <v/>
      </c>
      <c r="W116" t="str">
        <f>""</f>
        <v/>
      </c>
      <c r="X116">
        <v>1</v>
      </c>
      <c r="Y116">
        <v>1</v>
      </c>
      <c r="Z116">
        <v>3.25</v>
      </c>
      <c r="AA116">
        <v>0.99</v>
      </c>
      <c r="AB116">
        <v>3</v>
      </c>
      <c r="AC116">
        <v>0.99</v>
      </c>
      <c r="AD116">
        <v>0.99</v>
      </c>
      <c r="AE116">
        <v>1.1000000000000001</v>
      </c>
      <c r="AF116">
        <v>0.5</v>
      </c>
      <c r="AG116" t="str">
        <f>"921"</f>
        <v>921</v>
      </c>
      <c r="AH116" t="str">
        <f>"新光ゴム工業（株）"</f>
        <v>新光ゴム工業（株）</v>
      </c>
      <c r="AI116" t="str">
        <f>"001"</f>
        <v>001</v>
      </c>
      <c r="AJ116" t="str">
        <f>"C1-17"</f>
        <v>C1-17</v>
      </c>
      <c r="AK116" t="str">
        <f>"20459"</f>
        <v>20459</v>
      </c>
      <c r="AL116" t="str">
        <f>"9998"</f>
        <v>9998</v>
      </c>
      <c r="AM116" t="str">
        <f>"ｷｬｯﾌﾟｼｯﾋﾟﾝｸﾞ"</f>
        <v>ｷｬｯﾌﾟｼｯﾋﾟﾝｸﾞ</v>
      </c>
      <c r="AN116" t="str">
        <f t="shared" ref="AN116:AN122" si="142">"014"</f>
        <v>014</v>
      </c>
      <c r="AO116" t="str">
        <f t="shared" ref="AO116:AO122" si="143">"TP-331 ﾊﾝﾖｳ"</f>
        <v>TP-331 ﾊﾝﾖｳ</v>
      </c>
      <c r="AP116">
        <v>400</v>
      </c>
      <c r="AQ116" t="str">
        <f>""</f>
        <v/>
      </c>
      <c r="AR116" t="str">
        <f>""</f>
        <v/>
      </c>
      <c r="AS116" t="str">
        <f>""</f>
        <v/>
      </c>
      <c r="AT116" t="str">
        <f t="shared" si="87"/>
        <v>00</v>
      </c>
      <c r="AU116">
        <v>0.5</v>
      </c>
      <c r="AV116" t="str">
        <f>""</f>
        <v/>
      </c>
      <c r="AW116" t="str">
        <f t="shared" si="138"/>
        <v>08</v>
      </c>
      <c r="AX116" t="str">
        <f t="shared" si="139"/>
        <v>専用</v>
      </c>
      <c r="AY116" t="str">
        <f t="shared" si="140"/>
        <v>01</v>
      </c>
      <c r="AZ116" t="str">
        <f t="shared" si="141"/>
        <v>後補充</v>
      </c>
      <c r="BA116" t="str">
        <f>""</f>
        <v/>
      </c>
      <c r="BB116" t="str">
        <f t="shared" ref="BB116:BB122" si="144">"ＴＰ３３１フタナシ"</f>
        <v>ＴＰ３３１フタナシ</v>
      </c>
      <c r="BC116" t="str">
        <f t="shared" ref="BC116:BD122" si="145">" 335.000"</f>
        <v xml:space="preserve"> 335.000</v>
      </c>
      <c r="BD116" t="str">
        <f t="shared" si="145"/>
        <v xml:space="preserve"> 335.000</v>
      </c>
      <c r="BE116" t="str">
        <f t="shared" ref="BE116:BE122" si="146">" 103.000"</f>
        <v xml:space="preserve"> 103.000</v>
      </c>
      <c r="BF116" t="str">
        <f t="shared" ref="BF116:BF122" si="147">"   0.012"</f>
        <v xml:space="preserve">   0.012</v>
      </c>
      <c r="BG116" t="str">
        <f>"   2.040"</f>
        <v xml:space="preserve">   2.040</v>
      </c>
      <c r="BH116" t="str">
        <f t="shared" si="93"/>
        <v>しない</v>
      </c>
      <c r="BI116" t="str">
        <f>""</f>
        <v/>
      </c>
      <c r="BJ116" t="str">
        <f t="shared" si="94"/>
        <v>MASTER01</v>
      </c>
      <c r="BK116" t="str">
        <f>"2022/04/19"</f>
        <v>2022/04/19</v>
      </c>
      <c r="BL116" t="str">
        <f t="shared" si="95"/>
        <v>NE00</v>
      </c>
      <c r="BM116" t="str">
        <f t="shared" si="96"/>
        <v>１工工務Ｇ</v>
      </c>
      <c r="BN116" t="str">
        <f t="shared" ref="BN116:BN145" si="148">"46548"</f>
        <v>46548</v>
      </c>
      <c r="BO116" t="str">
        <f t="shared" ref="BO116:BO145" si="149">"長畑　玲奈"</f>
        <v>長畑　玲奈</v>
      </c>
    </row>
    <row r="117" spans="1:67">
      <c r="A117" t="s">
        <v>637</v>
      </c>
      <c r="B117" t="str">
        <f>""</f>
        <v/>
      </c>
      <c r="C117" t="str">
        <f>""</f>
        <v/>
      </c>
      <c r="D117" t="s">
        <v>8</v>
      </c>
      <c r="E117" t="str">
        <f t="shared" si="69"/>
        <v>1Y</v>
      </c>
      <c r="F117" t="str">
        <f t="shared" si="70"/>
        <v>第１工場</v>
      </c>
      <c r="G117" t="str">
        <f t="shared" si="71"/>
        <v>手配</v>
      </c>
      <c r="H117" t="str">
        <f t="shared" si="72"/>
        <v>Ｐ</v>
      </c>
      <c r="I117" t="str">
        <f t="shared" ref="I117:I122" si="150">"2408"</f>
        <v>2408</v>
      </c>
      <c r="J117" t="str">
        <f t="shared" ref="J117:J122" si="151">"（株）杉浦製作所"</f>
        <v>（株）杉浦製作所</v>
      </c>
      <c r="K117" t="str">
        <f t="shared" si="127"/>
        <v>01</v>
      </c>
      <c r="L117" t="str">
        <f>""</f>
        <v/>
      </c>
      <c r="M117" t="str">
        <f t="shared" si="124"/>
        <v>――</v>
      </c>
      <c r="N117" t="str">
        <f t="shared" si="124"/>
        <v>――</v>
      </c>
      <c r="O117" t="str">
        <f t="shared" si="77"/>
        <v>Ｍ</v>
      </c>
      <c r="P117" t="str">
        <f t="shared" si="78"/>
        <v>01</v>
      </c>
      <c r="Q117" t="str">
        <f t="shared" si="79"/>
        <v>第１</v>
      </c>
      <c r="R117" t="str">
        <f t="shared" si="80"/>
        <v>1Y</v>
      </c>
      <c r="S117" t="str">
        <f t="shared" si="81"/>
        <v>安城第１工場</v>
      </c>
      <c r="T117" t="str">
        <f t="shared" si="82"/>
        <v>直接</v>
      </c>
      <c r="U117" t="str">
        <f>""</f>
        <v/>
      </c>
      <c r="V117" t="str">
        <f>""</f>
        <v/>
      </c>
      <c r="W117" t="str">
        <f>""</f>
        <v/>
      </c>
      <c r="X117">
        <v>1</v>
      </c>
      <c r="Y117">
        <v>2</v>
      </c>
      <c r="Z117">
        <v>1.06</v>
      </c>
      <c r="AA117">
        <v>0.98</v>
      </c>
      <c r="AB117">
        <v>3</v>
      </c>
      <c r="AC117">
        <v>0.98</v>
      </c>
      <c r="AD117">
        <v>0.98</v>
      </c>
      <c r="AE117">
        <v>1.1000000000000001</v>
      </c>
      <c r="AF117">
        <v>0.5</v>
      </c>
      <c r="AG117" t="str">
        <f t="shared" ref="AG117:AG122" si="152">"030"</f>
        <v>030</v>
      </c>
      <c r="AH117" t="str">
        <f t="shared" ref="AH117:AH122" si="153">"（株）杉浦製作所"</f>
        <v>（株）杉浦製作所</v>
      </c>
      <c r="AI117" t="str">
        <f>"001"</f>
        <v>001</v>
      </c>
      <c r="AJ117" t="str">
        <f>"M-ST-2"</f>
        <v>M-ST-2</v>
      </c>
      <c r="AK117" t="str">
        <f>"20363"</f>
        <v>20363</v>
      </c>
      <c r="AL117" t="str">
        <f>"0450"</f>
        <v>0450</v>
      </c>
      <c r="AM117" t="str">
        <f>"ﾌﾟﾗｸﾞｳｲｽﾞﾍﾂﾄﾞｽﾄﾚ-ﾄｽｸﾘﾕ-"</f>
        <v>ﾌﾟﾗｸﾞｳｲｽﾞﾍﾂﾄﾞｽﾄﾚ-ﾄｽｸﾘﾕ-</v>
      </c>
      <c r="AN117" t="str">
        <f t="shared" si="142"/>
        <v>014</v>
      </c>
      <c r="AO117" t="str">
        <f t="shared" si="143"/>
        <v>TP-331 ﾊﾝﾖｳ</v>
      </c>
      <c r="AP117">
        <v>300</v>
      </c>
      <c r="AQ117" t="str">
        <f>""</f>
        <v/>
      </c>
      <c r="AR117" t="str">
        <f>""</f>
        <v/>
      </c>
      <c r="AS117" t="str">
        <f>""</f>
        <v/>
      </c>
      <c r="AT117" t="str">
        <f t="shared" si="87"/>
        <v>00</v>
      </c>
      <c r="AU117">
        <v>0.5</v>
      </c>
      <c r="AV117" t="str">
        <f>""</f>
        <v/>
      </c>
      <c r="AW117" t="str">
        <f t="shared" si="138"/>
        <v>08</v>
      </c>
      <c r="AX117" t="str">
        <f t="shared" si="139"/>
        <v>専用</v>
      </c>
      <c r="AY117" t="str">
        <f t="shared" si="140"/>
        <v>01</v>
      </c>
      <c r="AZ117" t="str">
        <f t="shared" si="141"/>
        <v>後補充</v>
      </c>
      <c r="BA117" t="str">
        <f>""</f>
        <v/>
      </c>
      <c r="BB117" t="str">
        <f t="shared" si="144"/>
        <v>ＴＰ３３１フタナシ</v>
      </c>
      <c r="BC117" t="str">
        <f t="shared" si="145"/>
        <v xml:space="preserve"> 335.000</v>
      </c>
      <c r="BD117" t="str">
        <f t="shared" si="145"/>
        <v xml:space="preserve"> 335.000</v>
      </c>
      <c r="BE117" t="str">
        <f t="shared" si="146"/>
        <v xml:space="preserve"> 103.000</v>
      </c>
      <c r="BF117" t="str">
        <f t="shared" si="147"/>
        <v xml:space="preserve">   0.012</v>
      </c>
      <c r="BG117" t="str">
        <f>"   9.850"</f>
        <v xml:space="preserve">   9.850</v>
      </c>
      <c r="BH117" t="str">
        <f t="shared" si="93"/>
        <v>しない</v>
      </c>
      <c r="BI117" t="str">
        <f>""</f>
        <v/>
      </c>
      <c r="BJ117" t="str">
        <f t="shared" si="94"/>
        <v>MASTER01</v>
      </c>
      <c r="BK117" t="str">
        <f>"2022/04/19"</f>
        <v>2022/04/19</v>
      </c>
      <c r="BL117" t="str">
        <f t="shared" si="95"/>
        <v>NE00</v>
      </c>
      <c r="BM117" t="str">
        <f t="shared" si="96"/>
        <v>１工工務Ｇ</v>
      </c>
      <c r="BN117" t="str">
        <f t="shared" si="148"/>
        <v>46548</v>
      </c>
      <c r="BO117" t="str">
        <f t="shared" si="149"/>
        <v>長畑　玲奈</v>
      </c>
    </row>
    <row r="118" spans="1:67">
      <c r="A118">
        <v>9011606048</v>
      </c>
      <c r="B118" t="str">
        <f>""</f>
        <v/>
      </c>
      <c r="C118" t="str">
        <f>""</f>
        <v/>
      </c>
      <c r="D118" t="s">
        <v>54</v>
      </c>
      <c r="E118" t="str">
        <f t="shared" si="69"/>
        <v>1Y</v>
      </c>
      <c r="F118" t="str">
        <f t="shared" si="70"/>
        <v>第１工場</v>
      </c>
      <c r="G118" t="str">
        <f t="shared" si="71"/>
        <v>手配</v>
      </c>
      <c r="H118" t="str">
        <f t="shared" si="72"/>
        <v>Ｐ</v>
      </c>
      <c r="I118" t="str">
        <f t="shared" si="150"/>
        <v>2408</v>
      </c>
      <c r="J118" t="str">
        <f t="shared" si="151"/>
        <v>（株）杉浦製作所</v>
      </c>
      <c r="K118" t="str">
        <f t="shared" si="127"/>
        <v>01</v>
      </c>
      <c r="L118" t="str">
        <f>""</f>
        <v/>
      </c>
      <c r="M118" t="str">
        <f t="shared" si="124"/>
        <v>――</v>
      </c>
      <c r="N118" t="str">
        <f t="shared" si="124"/>
        <v>――</v>
      </c>
      <c r="O118" t="str">
        <f t="shared" si="77"/>
        <v>Ｍ</v>
      </c>
      <c r="P118" t="str">
        <f t="shared" si="78"/>
        <v>01</v>
      </c>
      <c r="Q118" t="str">
        <f t="shared" si="79"/>
        <v>第１</v>
      </c>
      <c r="R118" t="str">
        <f t="shared" si="80"/>
        <v>1Y</v>
      </c>
      <c r="S118" t="str">
        <f t="shared" si="81"/>
        <v>安城第１工場</v>
      </c>
      <c r="T118" t="str">
        <f t="shared" si="82"/>
        <v>直接</v>
      </c>
      <c r="U118" t="str">
        <f>""</f>
        <v/>
      </c>
      <c r="V118" t="str">
        <f>""</f>
        <v/>
      </c>
      <c r="W118" t="str">
        <f>""</f>
        <v/>
      </c>
      <c r="X118">
        <v>1</v>
      </c>
      <c r="Y118">
        <v>2</v>
      </c>
      <c r="Z118">
        <v>1.06</v>
      </c>
      <c r="AA118">
        <v>0.98</v>
      </c>
      <c r="AB118">
        <v>3</v>
      </c>
      <c r="AC118">
        <v>0.98</v>
      </c>
      <c r="AD118">
        <v>0.98</v>
      </c>
      <c r="AE118">
        <v>1.1000000000000001</v>
      </c>
      <c r="AF118">
        <v>0.5</v>
      </c>
      <c r="AG118" t="str">
        <f t="shared" si="152"/>
        <v>030</v>
      </c>
      <c r="AH118" t="str">
        <f t="shared" si="153"/>
        <v>（株）杉浦製作所</v>
      </c>
      <c r="AI118" t="str">
        <f>"005"</f>
        <v>005</v>
      </c>
      <c r="AJ118" t="str">
        <f>"C1-7"</f>
        <v>C1-7</v>
      </c>
      <c r="AK118" t="str">
        <f>"20361"</f>
        <v>20361</v>
      </c>
      <c r="AL118" t="str">
        <f>"1460"</f>
        <v>1460</v>
      </c>
      <c r="AM118" t="str">
        <f>"ﾎﾞﾙﾄｽﾀﾂﾄﾞ"</f>
        <v>ﾎﾞﾙﾄｽﾀﾂﾄﾞ</v>
      </c>
      <c r="AN118" t="str">
        <f t="shared" si="142"/>
        <v>014</v>
      </c>
      <c r="AO118" t="str">
        <f t="shared" si="143"/>
        <v>TP-331 ﾊﾝﾖｳ</v>
      </c>
      <c r="AP118">
        <v>3000</v>
      </c>
      <c r="AQ118" t="str">
        <f>""</f>
        <v/>
      </c>
      <c r="AR118" t="str">
        <f>""</f>
        <v/>
      </c>
      <c r="AS118" t="str">
        <f>""</f>
        <v/>
      </c>
      <c r="AT118" t="str">
        <f t="shared" si="87"/>
        <v>00</v>
      </c>
      <c r="AU118">
        <v>0.5</v>
      </c>
      <c r="AV118" t="str">
        <f>""</f>
        <v/>
      </c>
      <c r="AW118" t="str">
        <f t="shared" si="138"/>
        <v>08</v>
      </c>
      <c r="AX118" t="str">
        <f t="shared" si="139"/>
        <v>専用</v>
      </c>
      <c r="AY118" t="str">
        <f t="shared" si="140"/>
        <v>01</v>
      </c>
      <c r="AZ118" t="str">
        <f t="shared" si="141"/>
        <v>後補充</v>
      </c>
      <c r="BA118" t="str">
        <f>""</f>
        <v/>
      </c>
      <c r="BB118" t="str">
        <f t="shared" si="144"/>
        <v>ＴＰ３３１フタナシ</v>
      </c>
      <c r="BC118" t="str">
        <f t="shared" si="145"/>
        <v xml:space="preserve"> 335.000</v>
      </c>
      <c r="BD118" t="str">
        <f t="shared" si="145"/>
        <v xml:space="preserve"> 335.000</v>
      </c>
      <c r="BE118" t="str">
        <f t="shared" si="146"/>
        <v xml:space="preserve"> 103.000</v>
      </c>
      <c r="BF118" t="str">
        <f t="shared" si="147"/>
        <v xml:space="preserve">   0.012</v>
      </c>
      <c r="BG118" t="str">
        <f>"  15.400"</f>
        <v xml:space="preserve">  15.400</v>
      </c>
      <c r="BH118" t="str">
        <f t="shared" si="93"/>
        <v>しない</v>
      </c>
      <c r="BI118" t="str">
        <f>""</f>
        <v/>
      </c>
      <c r="BJ118" t="str">
        <f t="shared" si="94"/>
        <v>MASTER01</v>
      </c>
      <c r="BK118" t="str">
        <f>"2022/04/19"</f>
        <v>2022/04/19</v>
      </c>
      <c r="BL118" t="str">
        <f t="shared" si="95"/>
        <v>NE00</v>
      </c>
      <c r="BM118" t="str">
        <f t="shared" si="96"/>
        <v>１工工務Ｇ</v>
      </c>
      <c r="BN118" t="str">
        <f t="shared" si="148"/>
        <v>46548</v>
      </c>
      <c r="BO118" t="str">
        <f t="shared" si="149"/>
        <v>長畑　玲奈</v>
      </c>
    </row>
    <row r="119" spans="1:67">
      <c r="A119" t="s">
        <v>706</v>
      </c>
      <c r="B119" t="str">
        <f>""</f>
        <v/>
      </c>
      <c r="C119" t="str">
        <f>""</f>
        <v/>
      </c>
      <c r="D119" t="s">
        <v>8</v>
      </c>
      <c r="E119" t="str">
        <f t="shared" si="69"/>
        <v>1Y</v>
      </c>
      <c r="F119" t="str">
        <f t="shared" si="70"/>
        <v>第１工場</v>
      </c>
      <c r="G119" t="str">
        <f t="shared" si="71"/>
        <v>手配</v>
      </c>
      <c r="H119" t="str">
        <f t="shared" si="72"/>
        <v>Ｐ</v>
      </c>
      <c r="I119" t="str">
        <f t="shared" si="150"/>
        <v>2408</v>
      </c>
      <c r="J119" t="str">
        <f t="shared" si="151"/>
        <v>（株）杉浦製作所</v>
      </c>
      <c r="K119" t="str">
        <f t="shared" si="127"/>
        <v>01</v>
      </c>
      <c r="L119" t="str">
        <f>""</f>
        <v/>
      </c>
      <c r="M119" t="str">
        <f t="shared" si="124"/>
        <v>――</v>
      </c>
      <c r="N119" t="str">
        <f t="shared" si="124"/>
        <v>――</v>
      </c>
      <c r="O119" t="str">
        <f t="shared" si="77"/>
        <v>Ｍ</v>
      </c>
      <c r="P119" t="str">
        <f t="shared" si="78"/>
        <v>01</v>
      </c>
      <c r="Q119" t="str">
        <f t="shared" si="79"/>
        <v>第１</v>
      </c>
      <c r="R119" t="str">
        <f t="shared" si="80"/>
        <v>1Y</v>
      </c>
      <c r="S119" t="str">
        <f t="shared" si="81"/>
        <v>安城第１工場</v>
      </c>
      <c r="T119" t="str">
        <f t="shared" si="82"/>
        <v>直接</v>
      </c>
      <c r="U119" t="str">
        <f>""</f>
        <v/>
      </c>
      <c r="V119" t="str">
        <f>""</f>
        <v/>
      </c>
      <c r="W119" t="str">
        <f>""</f>
        <v/>
      </c>
      <c r="X119">
        <v>1</v>
      </c>
      <c r="Y119">
        <v>2</v>
      </c>
      <c r="Z119">
        <v>1.06</v>
      </c>
      <c r="AA119">
        <v>0.98</v>
      </c>
      <c r="AB119">
        <v>3</v>
      </c>
      <c r="AC119">
        <v>0.98</v>
      </c>
      <c r="AD119">
        <v>0.98</v>
      </c>
      <c r="AE119">
        <v>1.1000000000000001</v>
      </c>
      <c r="AF119">
        <v>0.5</v>
      </c>
      <c r="AG119" t="str">
        <f t="shared" si="152"/>
        <v>030</v>
      </c>
      <c r="AH119" t="str">
        <f t="shared" si="153"/>
        <v>（株）杉浦製作所</v>
      </c>
      <c r="AI119" t="str">
        <f>"002"</f>
        <v>002</v>
      </c>
      <c r="AJ119" t="str">
        <f>"R-5-1"</f>
        <v>R-5-1</v>
      </c>
      <c r="AK119" t="str">
        <f>"20362"</f>
        <v>20362</v>
      </c>
      <c r="AL119" t="str">
        <f>"0521"</f>
        <v>0521</v>
      </c>
      <c r="AM119" t="str">
        <f>"ﾌﾟﾗｸﾞｳｲｽﾞﾍﾂﾄﾞｽﾄﾚ-ﾄｽｸﾘﾕ-"</f>
        <v>ﾌﾟﾗｸﾞｳｲｽﾞﾍﾂﾄﾞｽﾄﾚ-ﾄｽｸﾘﾕ-</v>
      </c>
      <c r="AN119" t="str">
        <f t="shared" si="142"/>
        <v>014</v>
      </c>
      <c r="AO119" t="str">
        <f t="shared" si="143"/>
        <v>TP-331 ﾊﾝﾖｳ</v>
      </c>
      <c r="AP119">
        <v>1000</v>
      </c>
      <c r="AQ119" t="str">
        <f>""</f>
        <v/>
      </c>
      <c r="AR119" t="str">
        <f>""</f>
        <v/>
      </c>
      <c r="AS119" t="str">
        <f>""</f>
        <v/>
      </c>
      <c r="AT119" t="str">
        <f t="shared" si="87"/>
        <v>00</v>
      </c>
      <c r="AU119">
        <v>0.5</v>
      </c>
      <c r="AV119" t="str">
        <f>""</f>
        <v/>
      </c>
      <c r="AW119" t="str">
        <f t="shared" si="138"/>
        <v>08</v>
      </c>
      <c r="AX119" t="str">
        <f t="shared" si="139"/>
        <v>専用</v>
      </c>
      <c r="AY119" t="str">
        <f t="shared" si="140"/>
        <v>01</v>
      </c>
      <c r="AZ119" t="str">
        <f t="shared" si="141"/>
        <v>後補充</v>
      </c>
      <c r="BA119" t="str">
        <f>""</f>
        <v/>
      </c>
      <c r="BB119" t="str">
        <f t="shared" si="144"/>
        <v>ＴＰ３３１フタナシ</v>
      </c>
      <c r="BC119" t="str">
        <f t="shared" si="145"/>
        <v xml:space="preserve"> 335.000</v>
      </c>
      <c r="BD119" t="str">
        <f t="shared" si="145"/>
        <v xml:space="preserve"> 335.000</v>
      </c>
      <c r="BE119" t="str">
        <f t="shared" si="146"/>
        <v xml:space="preserve"> 103.000</v>
      </c>
      <c r="BF119" t="str">
        <f t="shared" si="147"/>
        <v xml:space="preserve">   0.012</v>
      </c>
      <c r="BG119" t="str">
        <f>"   7.400"</f>
        <v xml:space="preserve">   7.400</v>
      </c>
      <c r="BH119" t="str">
        <f t="shared" si="93"/>
        <v>しない</v>
      </c>
      <c r="BI119" t="str">
        <f>""</f>
        <v/>
      </c>
      <c r="BJ119" t="str">
        <f t="shared" si="94"/>
        <v>MASTER01</v>
      </c>
      <c r="BK119" t="str">
        <f>"2022/04/19"</f>
        <v>2022/04/19</v>
      </c>
      <c r="BL119" t="str">
        <f t="shared" si="95"/>
        <v>NE00</v>
      </c>
      <c r="BM119" t="str">
        <f t="shared" si="96"/>
        <v>１工工務Ｇ</v>
      </c>
      <c r="BN119" t="str">
        <f t="shared" si="148"/>
        <v>46548</v>
      </c>
      <c r="BO119" t="str">
        <f t="shared" si="149"/>
        <v>長畑　玲奈</v>
      </c>
    </row>
    <row r="120" spans="1:67">
      <c r="A120" t="s">
        <v>213</v>
      </c>
      <c r="B120" t="str">
        <f>""</f>
        <v/>
      </c>
      <c r="C120" t="str">
        <f>""</f>
        <v/>
      </c>
      <c r="D120" t="s">
        <v>8</v>
      </c>
      <c r="E120" t="str">
        <f t="shared" si="69"/>
        <v>1Y</v>
      </c>
      <c r="F120" t="str">
        <f t="shared" si="70"/>
        <v>第１工場</v>
      </c>
      <c r="G120" t="str">
        <f t="shared" si="71"/>
        <v>手配</v>
      </c>
      <c r="H120" t="str">
        <f t="shared" si="72"/>
        <v>Ｐ</v>
      </c>
      <c r="I120" t="str">
        <f t="shared" si="150"/>
        <v>2408</v>
      </c>
      <c r="J120" t="str">
        <f t="shared" si="151"/>
        <v>（株）杉浦製作所</v>
      </c>
      <c r="K120" t="str">
        <f t="shared" si="127"/>
        <v>01</v>
      </c>
      <c r="L120" t="str">
        <f>""</f>
        <v/>
      </c>
      <c r="M120" t="str">
        <f t="shared" si="124"/>
        <v>――</v>
      </c>
      <c r="N120" t="str">
        <f t="shared" si="124"/>
        <v>――</v>
      </c>
      <c r="O120" t="str">
        <f t="shared" si="77"/>
        <v>Ｍ</v>
      </c>
      <c r="P120" t="str">
        <f t="shared" si="78"/>
        <v>01</v>
      </c>
      <c r="Q120" t="str">
        <f t="shared" si="79"/>
        <v>第１</v>
      </c>
      <c r="R120" t="str">
        <f t="shared" si="80"/>
        <v>1Y</v>
      </c>
      <c r="S120" t="str">
        <f t="shared" si="81"/>
        <v>安城第１工場</v>
      </c>
      <c r="T120" t="str">
        <f t="shared" si="82"/>
        <v>直接</v>
      </c>
      <c r="U120" t="str">
        <f>""</f>
        <v/>
      </c>
      <c r="V120" t="str">
        <f>""</f>
        <v/>
      </c>
      <c r="W120" t="str">
        <f>""</f>
        <v/>
      </c>
      <c r="X120">
        <v>1</v>
      </c>
      <c r="Y120">
        <v>2</v>
      </c>
      <c r="Z120">
        <v>1.06</v>
      </c>
      <c r="AA120">
        <v>0.98</v>
      </c>
      <c r="AB120">
        <v>3</v>
      </c>
      <c r="AC120">
        <v>0.98</v>
      </c>
      <c r="AD120">
        <v>0.98</v>
      </c>
      <c r="AE120">
        <v>1.1000000000000001</v>
      </c>
      <c r="AF120">
        <v>0.5</v>
      </c>
      <c r="AG120" t="str">
        <f t="shared" si="152"/>
        <v>030</v>
      </c>
      <c r="AH120" t="str">
        <f t="shared" si="153"/>
        <v>（株）杉浦製作所</v>
      </c>
      <c r="AI120" t="str">
        <f>"006"</f>
        <v>006</v>
      </c>
      <c r="AJ120" t="str">
        <f>""</f>
        <v/>
      </c>
      <c r="AK120" t="str">
        <f>""</f>
        <v/>
      </c>
      <c r="AL120" t="str">
        <f>"0521"</f>
        <v>0521</v>
      </c>
      <c r="AM120" t="str">
        <f>"ﾌﾟﾗｸﾞ ｳｲｽﾞﾍﾂﾄﾞｽﾄﾚ-ﾄｽｸﾘﾕ-"</f>
        <v>ﾌﾟﾗｸﾞ ｳｲｽﾞﾍﾂﾄﾞｽﾄﾚ-ﾄｽｸﾘﾕ-</v>
      </c>
      <c r="AN120" t="str">
        <f t="shared" si="142"/>
        <v>014</v>
      </c>
      <c r="AO120" t="str">
        <f t="shared" si="143"/>
        <v>TP-331 ﾊﾝﾖｳ</v>
      </c>
      <c r="AP120">
        <v>1000</v>
      </c>
      <c r="AQ120" t="str">
        <f>""</f>
        <v/>
      </c>
      <c r="AR120" t="str">
        <f>""</f>
        <v/>
      </c>
      <c r="AS120" t="str">
        <f>""</f>
        <v/>
      </c>
      <c r="AT120" t="str">
        <f t="shared" si="87"/>
        <v>00</v>
      </c>
      <c r="AU120">
        <v>0.5</v>
      </c>
      <c r="AV120" t="str">
        <f>""</f>
        <v/>
      </c>
      <c r="AW120" t="str">
        <f>""</f>
        <v/>
      </c>
      <c r="AX120" t="str">
        <f>""</f>
        <v/>
      </c>
      <c r="AY120" t="str">
        <f>""</f>
        <v/>
      </c>
      <c r="AZ120" t="str">
        <f>""</f>
        <v/>
      </c>
      <c r="BA120" t="str">
        <f>""</f>
        <v/>
      </c>
      <c r="BB120" t="str">
        <f t="shared" si="144"/>
        <v>ＴＰ３３１フタナシ</v>
      </c>
      <c r="BC120" t="str">
        <f t="shared" si="145"/>
        <v xml:space="preserve"> 335.000</v>
      </c>
      <c r="BD120" t="str">
        <f t="shared" si="145"/>
        <v xml:space="preserve"> 335.000</v>
      </c>
      <c r="BE120" t="str">
        <f t="shared" si="146"/>
        <v xml:space="preserve"> 103.000</v>
      </c>
      <c r="BF120" t="str">
        <f t="shared" si="147"/>
        <v xml:space="preserve">   0.012</v>
      </c>
      <c r="BG120" t="str">
        <f>"   7.700"</f>
        <v xml:space="preserve">   7.700</v>
      </c>
      <c r="BH120" t="str">
        <f t="shared" si="93"/>
        <v>しない</v>
      </c>
      <c r="BI120" t="str">
        <f>""</f>
        <v/>
      </c>
      <c r="BJ120" t="str">
        <f t="shared" si="94"/>
        <v>MASTER01</v>
      </c>
      <c r="BK120" t="str">
        <f>"2023/01/17"</f>
        <v>2023/01/17</v>
      </c>
      <c r="BL120" t="str">
        <f t="shared" si="95"/>
        <v>NE00</v>
      </c>
      <c r="BM120" t="str">
        <f t="shared" si="96"/>
        <v>１工工務Ｇ</v>
      </c>
      <c r="BN120" t="str">
        <f t="shared" si="148"/>
        <v>46548</v>
      </c>
      <c r="BO120" t="str">
        <f t="shared" si="149"/>
        <v>長畑　玲奈</v>
      </c>
    </row>
    <row r="121" spans="1:67">
      <c r="A121" t="s">
        <v>708</v>
      </c>
      <c r="B121" t="str">
        <f>""</f>
        <v/>
      </c>
      <c r="C121" t="str">
        <f>""</f>
        <v/>
      </c>
      <c r="D121" t="s">
        <v>707</v>
      </c>
      <c r="E121" t="str">
        <f t="shared" si="69"/>
        <v>1Y</v>
      </c>
      <c r="F121" t="str">
        <f t="shared" si="70"/>
        <v>第１工場</v>
      </c>
      <c r="G121" t="str">
        <f t="shared" si="71"/>
        <v>手配</v>
      </c>
      <c r="H121" t="str">
        <f t="shared" si="72"/>
        <v>Ｐ</v>
      </c>
      <c r="I121" t="str">
        <f t="shared" si="150"/>
        <v>2408</v>
      </c>
      <c r="J121" t="str">
        <f t="shared" si="151"/>
        <v>（株）杉浦製作所</v>
      </c>
      <c r="K121" t="str">
        <f t="shared" si="127"/>
        <v>01</v>
      </c>
      <c r="L121" t="str">
        <f>""</f>
        <v/>
      </c>
      <c r="M121" t="str">
        <f t="shared" si="124"/>
        <v>――</v>
      </c>
      <c r="N121" t="str">
        <f t="shared" si="124"/>
        <v>――</v>
      </c>
      <c r="O121" t="str">
        <f t="shared" si="77"/>
        <v>Ｍ</v>
      </c>
      <c r="P121" t="str">
        <f t="shared" si="78"/>
        <v>01</v>
      </c>
      <c r="Q121" t="str">
        <f t="shared" si="79"/>
        <v>第１</v>
      </c>
      <c r="R121" t="str">
        <f t="shared" si="80"/>
        <v>1Y</v>
      </c>
      <c r="S121" t="str">
        <f t="shared" si="81"/>
        <v>安城第１工場</v>
      </c>
      <c r="T121" t="str">
        <f t="shared" si="82"/>
        <v>直接</v>
      </c>
      <c r="U121" t="str">
        <f>""</f>
        <v/>
      </c>
      <c r="V121" t="str">
        <f>""</f>
        <v/>
      </c>
      <c r="W121" t="str">
        <f>""</f>
        <v/>
      </c>
      <c r="X121">
        <v>1</v>
      </c>
      <c r="Y121">
        <v>2</v>
      </c>
      <c r="Z121">
        <v>1.06</v>
      </c>
      <c r="AA121">
        <v>0.98</v>
      </c>
      <c r="AB121">
        <v>3</v>
      </c>
      <c r="AC121">
        <v>0.98</v>
      </c>
      <c r="AD121">
        <v>0.98</v>
      </c>
      <c r="AE121">
        <v>1.1000000000000001</v>
      </c>
      <c r="AF121">
        <v>0.5</v>
      </c>
      <c r="AG121" t="str">
        <f t="shared" si="152"/>
        <v>030</v>
      </c>
      <c r="AH121" t="str">
        <f t="shared" si="153"/>
        <v>（株）杉浦製作所</v>
      </c>
      <c r="AI121" t="str">
        <f>"003"</f>
        <v>003</v>
      </c>
      <c r="AJ121" t="str">
        <f>"R-5-2"</f>
        <v>R-5-2</v>
      </c>
      <c r="AK121" t="str">
        <f>"20370"</f>
        <v>20370</v>
      </c>
      <c r="AL121" t="str">
        <f>"0521"</f>
        <v>0521</v>
      </c>
      <c r="AM121" t="str">
        <f>"ﾌﾟﾗｸﾞｳｲｽﾞﾍﾂﾄﾞｽﾄﾚ-ﾄｽｸﾘﾕ-"</f>
        <v>ﾌﾟﾗｸﾞｳｲｽﾞﾍﾂﾄﾞｽﾄﾚ-ﾄｽｸﾘﾕ-</v>
      </c>
      <c r="AN121" t="str">
        <f t="shared" si="142"/>
        <v>014</v>
      </c>
      <c r="AO121" t="str">
        <f t="shared" si="143"/>
        <v>TP-331 ﾊﾝﾖｳ</v>
      </c>
      <c r="AP121">
        <v>1000</v>
      </c>
      <c r="AQ121" t="str">
        <f>""</f>
        <v/>
      </c>
      <c r="AR121" t="str">
        <f>""</f>
        <v/>
      </c>
      <c r="AS121" t="str">
        <f>""</f>
        <v/>
      </c>
      <c r="AT121" t="str">
        <f t="shared" si="87"/>
        <v>00</v>
      </c>
      <c r="AU121">
        <v>0.5</v>
      </c>
      <c r="AV121" t="str">
        <f>""</f>
        <v/>
      </c>
      <c r="AW121" t="str">
        <f>"08"</f>
        <v>08</v>
      </c>
      <c r="AX121" t="str">
        <f>"専用"</f>
        <v>専用</v>
      </c>
      <c r="AY121" t="str">
        <f>"01"</f>
        <v>01</v>
      </c>
      <c r="AZ121" t="str">
        <f>"後補充"</f>
        <v>後補充</v>
      </c>
      <c r="BA121" t="str">
        <f>""</f>
        <v/>
      </c>
      <c r="BB121" t="str">
        <f t="shared" si="144"/>
        <v>ＴＰ３３１フタナシ</v>
      </c>
      <c r="BC121" t="str">
        <f t="shared" si="145"/>
        <v xml:space="preserve"> 335.000</v>
      </c>
      <c r="BD121" t="str">
        <f t="shared" si="145"/>
        <v xml:space="preserve"> 335.000</v>
      </c>
      <c r="BE121" t="str">
        <f t="shared" si="146"/>
        <v xml:space="preserve"> 103.000</v>
      </c>
      <c r="BF121" t="str">
        <f t="shared" si="147"/>
        <v xml:space="preserve">   0.012</v>
      </c>
      <c r="BG121" t="str">
        <f>"   7.400"</f>
        <v xml:space="preserve">   7.400</v>
      </c>
      <c r="BH121" t="str">
        <f t="shared" si="93"/>
        <v>しない</v>
      </c>
      <c r="BI121" t="str">
        <f>""</f>
        <v/>
      </c>
      <c r="BJ121" t="str">
        <f t="shared" si="94"/>
        <v>MASTER01</v>
      </c>
      <c r="BK121" t="str">
        <f>"2022/04/19"</f>
        <v>2022/04/19</v>
      </c>
      <c r="BL121" t="str">
        <f t="shared" si="95"/>
        <v>NE00</v>
      </c>
      <c r="BM121" t="str">
        <f t="shared" si="96"/>
        <v>１工工務Ｇ</v>
      </c>
      <c r="BN121" t="str">
        <f t="shared" si="148"/>
        <v>46548</v>
      </c>
      <c r="BO121" t="str">
        <f t="shared" si="149"/>
        <v>長畑　玲奈</v>
      </c>
    </row>
    <row r="122" spans="1:67">
      <c r="A122">
        <v>9034118090</v>
      </c>
      <c r="B122" t="str">
        <f>""</f>
        <v/>
      </c>
      <c r="C122" t="str">
        <f>""</f>
        <v/>
      </c>
      <c r="D122" t="s">
        <v>8</v>
      </c>
      <c r="E122" t="str">
        <f t="shared" si="69"/>
        <v>1Y</v>
      </c>
      <c r="F122" t="str">
        <f t="shared" si="70"/>
        <v>第１工場</v>
      </c>
      <c r="G122" t="str">
        <f t="shared" si="71"/>
        <v>手配</v>
      </c>
      <c r="H122" t="str">
        <f t="shared" si="72"/>
        <v>Ｐ</v>
      </c>
      <c r="I122" t="str">
        <f t="shared" si="150"/>
        <v>2408</v>
      </c>
      <c r="J122" t="str">
        <f t="shared" si="151"/>
        <v>（株）杉浦製作所</v>
      </c>
      <c r="K122" t="str">
        <f t="shared" si="127"/>
        <v>01</v>
      </c>
      <c r="L122" t="str">
        <f>""</f>
        <v/>
      </c>
      <c r="M122" t="str">
        <f t="shared" ref="M122:N141" si="154">"――"</f>
        <v>――</v>
      </c>
      <c r="N122" t="str">
        <f t="shared" si="154"/>
        <v>――</v>
      </c>
      <c r="O122" t="str">
        <f t="shared" si="77"/>
        <v>Ｍ</v>
      </c>
      <c r="P122" t="str">
        <f t="shared" si="78"/>
        <v>01</v>
      </c>
      <c r="Q122" t="str">
        <f t="shared" si="79"/>
        <v>第１</v>
      </c>
      <c r="R122" t="str">
        <f t="shared" si="80"/>
        <v>1Y</v>
      </c>
      <c r="S122" t="str">
        <f t="shared" si="81"/>
        <v>安城第１工場</v>
      </c>
      <c r="T122" t="str">
        <f t="shared" si="82"/>
        <v>直接</v>
      </c>
      <c r="U122" t="str">
        <f>""</f>
        <v/>
      </c>
      <c r="V122" t="str">
        <f>""</f>
        <v/>
      </c>
      <c r="W122" t="str">
        <f>""</f>
        <v/>
      </c>
      <c r="X122">
        <v>1</v>
      </c>
      <c r="Y122">
        <v>2</v>
      </c>
      <c r="Z122">
        <v>1.06</v>
      </c>
      <c r="AA122">
        <v>0.98</v>
      </c>
      <c r="AB122">
        <v>3</v>
      </c>
      <c r="AC122">
        <v>0.98</v>
      </c>
      <c r="AD122">
        <v>0.98</v>
      </c>
      <c r="AE122">
        <v>1.1000000000000001</v>
      </c>
      <c r="AF122">
        <v>0.5</v>
      </c>
      <c r="AG122" t="str">
        <f t="shared" si="152"/>
        <v>030</v>
      </c>
      <c r="AH122" t="str">
        <f t="shared" si="153"/>
        <v>（株）杉浦製作所</v>
      </c>
      <c r="AI122" t="str">
        <f>"004"</f>
        <v>004</v>
      </c>
      <c r="AJ122" t="str">
        <f>"M-C-2-12"</f>
        <v>M-C-2-12</v>
      </c>
      <c r="AK122" t="str">
        <f>"20364"</f>
        <v>20364</v>
      </c>
      <c r="AL122" t="str">
        <f>"0521"</f>
        <v>0521</v>
      </c>
      <c r="AM122" t="str">
        <f>"ﾌﾟﾗｸﾞｳｲｽﾞﾍﾂﾄﾞｽﾄﾚ-ﾄｽｸﾘﾕ-"</f>
        <v>ﾌﾟﾗｸﾞｳｲｽﾞﾍﾂﾄﾞｽﾄﾚ-ﾄｽｸﾘﾕ-</v>
      </c>
      <c r="AN122" t="str">
        <f t="shared" si="142"/>
        <v>014</v>
      </c>
      <c r="AO122" t="str">
        <f t="shared" si="143"/>
        <v>TP-331 ﾊﾝﾖｳ</v>
      </c>
      <c r="AP122">
        <v>300</v>
      </c>
      <c r="AQ122" t="str">
        <f>""</f>
        <v/>
      </c>
      <c r="AR122" t="str">
        <f>""</f>
        <v/>
      </c>
      <c r="AS122" t="str">
        <f>""</f>
        <v/>
      </c>
      <c r="AT122" t="str">
        <f t="shared" si="87"/>
        <v>00</v>
      </c>
      <c r="AU122">
        <v>0.5</v>
      </c>
      <c r="AV122" t="str">
        <f>""</f>
        <v/>
      </c>
      <c r="AW122" t="str">
        <f>"08"</f>
        <v>08</v>
      </c>
      <c r="AX122" t="str">
        <f>"専用"</f>
        <v>専用</v>
      </c>
      <c r="AY122" t="str">
        <f>"01"</f>
        <v>01</v>
      </c>
      <c r="AZ122" t="str">
        <f>"後補充"</f>
        <v>後補充</v>
      </c>
      <c r="BA122" t="str">
        <f>""</f>
        <v/>
      </c>
      <c r="BB122" t="str">
        <f t="shared" si="144"/>
        <v>ＴＰ３３１フタナシ</v>
      </c>
      <c r="BC122" t="str">
        <f t="shared" si="145"/>
        <v xml:space="preserve"> 335.000</v>
      </c>
      <c r="BD122" t="str">
        <f t="shared" si="145"/>
        <v xml:space="preserve"> 335.000</v>
      </c>
      <c r="BE122" t="str">
        <f t="shared" si="146"/>
        <v xml:space="preserve"> 103.000</v>
      </c>
      <c r="BF122" t="str">
        <f t="shared" si="147"/>
        <v xml:space="preserve">   0.012</v>
      </c>
      <c r="BG122" t="str">
        <f>"  10.360"</f>
        <v xml:space="preserve">  10.360</v>
      </c>
      <c r="BH122" t="str">
        <f t="shared" si="93"/>
        <v>しない</v>
      </c>
      <c r="BI122" t="str">
        <f>""</f>
        <v/>
      </c>
      <c r="BJ122" t="str">
        <f t="shared" si="94"/>
        <v>MASTER01</v>
      </c>
      <c r="BK122" t="str">
        <f>"2022/04/19"</f>
        <v>2022/04/19</v>
      </c>
      <c r="BL122" t="str">
        <f t="shared" si="95"/>
        <v>NE00</v>
      </c>
      <c r="BM122" t="str">
        <f t="shared" si="96"/>
        <v>１工工務Ｇ</v>
      </c>
      <c r="BN122" t="str">
        <f t="shared" si="148"/>
        <v>46548</v>
      </c>
      <c r="BO122" t="str">
        <f t="shared" si="149"/>
        <v>長畑　玲奈</v>
      </c>
    </row>
    <row r="123" spans="1:67">
      <c r="A123" t="s">
        <v>214</v>
      </c>
      <c r="B123" t="str">
        <f>""</f>
        <v/>
      </c>
      <c r="C123" t="str">
        <f>""</f>
        <v/>
      </c>
      <c r="D123" t="s">
        <v>55</v>
      </c>
      <c r="E123" t="str">
        <f t="shared" si="69"/>
        <v>1Y</v>
      </c>
      <c r="F123" t="str">
        <f t="shared" si="70"/>
        <v>第１工場</v>
      </c>
      <c r="G123" t="str">
        <f t="shared" si="71"/>
        <v>手配</v>
      </c>
      <c r="H123" t="str">
        <f t="shared" si="72"/>
        <v>Ｐ</v>
      </c>
      <c r="I123" t="str">
        <f>"2411"</f>
        <v>2411</v>
      </c>
      <c r="J123" t="str">
        <f>"アイコー（株）"</f>
        <v>アイコー（株）</v>
      </c>
      <c r="K123" t="str">
        <f t="shared" si="127"/>
        <v>01</v>
      </c>
      <c r="L123" t="str">
        <f>""</f>
        <v/>
      </c>
      <c r="M123" t="str">
        <f t="shared" si="154"/>
        <v>――</v>
      </c>
      <c r="N123" t="str">
        <f t="shared" si="154"/>
        <v>――</v>
      </c>
      <c r="O123" t="str">
        <f t="shared" si="77"/>
        <v>Ｍ</v>
      </c>
      <c r="P123" t="str">
        <f t="shared" si="78"/>
        <v>01</v>
      </c>
      <c r="Q123" t="str">
        <f t="shared" si="79"/>
        <v>第１</v>
      </c>
      <c r="R123" t="str">
        <f t="shared" si="80"/>
        <v>1Y</v>
      </c>
      <c r="S123" t="str">
        <f t="shared" si="81"/>
        <v>安城第１工場</v>
      </c>
      <c r="T123" t="str">
        <f t="shared" si="82"/>
        <v>直接</v>
      </c>
      <c r="U123" t="str">
        <f>""</f>
        <v/>
      </c>
      <c r="V123" t="str">
        <f>""</f>
        <v/>
      </c>
      <c r="W123" t="str">
        <f>""</f>
        <v/>
      </c>
      <c r="X123">
        <v>1</v>
      </c>
      <c r="Y123">
        <v>2</v>
      </c>
      <c r="Z123">
        <v>3.92</v>
      </c>
      <c r="AA123">
        <v>1.32</v>
      </c>
      <c r="AB123">
        <v>3</v>
      </c>
      <c r="AC123">
        <v>1.32</v>
      </c>
      <c r="AD123">
        <v>1.32</v>
      </c>
      <c r="AE123">
        <v>1.1000000000000001</v>
      </c>
      <c r="AF123">
        <v>0.5</v>
      </c>
      <c r="AG123" t="str">
        <f>"031"</f>
        <v>031</v>
      </c>
      <c r="AH123" t="str">
        <f>"アイコー（株）"</f>
        <v>アイコー（株）</v>
      </c>
      <c r="AI123" t="str">
        <f>"001"</f>
        <v>001</v>
      </c>
      <c r="AJ123" t="str">
        <f>"S-TA-2-18"</f>
        <v>S-TA-2-18</v>
      </c>
      <c r="AK123" t="str">
        <f>"10421"</f>
        <v>10421</v>
      </c>
      <c r="AL123" t="str">
        <f>"0438"</f>
        <v>0438</v>
      </c>
      <c r="AM123" t="str">
        <f>"ﾋﾟﾝS/Aﾊﾟｰｷﾝｸﾞﾛｯｸ"</f>
        <v>ﾋﾟﾝS/Aﾊﾟｰｷﾝｸﾞﾛｯｸ</v>
      </c>
      <c r="AN123" t="str">
        <f>"051"</f>
        <v>051</v>
      </c>
      <c r="AO123" t="str">
        <f>"AW-131 ｾﾝﾖｳ"</f>
        <v>AW-131 ｾﾝﾖｳ</v>
      </c>
      <c r="AP123">
        <v>100</v>
      </c>
      <c r="AQ123" t="str">
        <f>""</f>
        <v/>
      </c>
      <c r="AR123" t="str">
        <f>""</f>
        <v/>
      </c>
      <c r="AS123" t="str">
        <f>""</f>
        <v/>
      </c>
      <c r="AT123" t="str">
        <f t="shared" si="87"/>
        <v>00</v>
      </c>
      <c r="AU123">
        <v>0.5</v>
      </c>
      <c r="AV123" t="str">
        <f>""</f>
        <v/>
      </c>
      <c r="AW123" t="str">
        <f>"08"</f>
        <v>08</v>
      </c>
      <c r="AX123" t="str">
        <f>"専用"</f>
        <v>専用</v>
      </c>
      <c r="AY123" t="str">
        <f>"01"</f>
        <v>01</v>
      </c>
      <c r="AZ123" t="str">
        <f>"後補充"</f>
        <v>後補充</v>
      </c>
      <c r="BA123" t="str">
        <f>""</f>
        <v/>
      </c>
      <c r="BB123" t="str">
        <f>"ＴＰ１３１フタナシ"</f>
        <v>ＴＰ１３１フタナシ</v>
      </c>
      <c r="BC123" t="str">
        <f>" 335.000"</f>
        <v xml:space="preserve"> 335.000</v>
      </c>
      <c r="BD123" t="str">
        <f>" 167.000"</f>
        <v xml:space="preserve"> 167.000</v>
      </c>
      <c r="BE123" t="str">
        <f>" 102.000"</f>
        <v xml:space="preserve"> 102.000</v>
      </c>
      <c r="BF123" t="str">
        <f>"   0.006"</f>
        <v xml:space="preserve">   0.006</v>
      </c>
      <c r="BG123" t="str">
        <f>"   3.860"</f>
        <v xml:space="preserve">   3.860</v>
      </c>
      <c r="BH123" t="str">
        <f t="shared" si="93"/>
        <v>しない</v>
      </c>
      <c r="BI123" t="str">
        <f>""</f>
        <v/>
      </c>
      <c r="BJ123" t="str">
        <f t="shared" si="94"/>
        <v>MASTER01</v>
      </c>
      <c r="BK123" t="str">
        <f>"2022/04/19"</f>
        <v>2022/04/19</v>
      </c>
      <c r="BL123" t="str">
        <f t="shared" si="95"/>
        <v>NE00</v>
      </c>
      <c r="BM123" t="str">
        <f t="shared" si="96"/>
        <v>１工工務Ｇ</v>
      </c>
      <c r="BN123" t="str">
        <f t="shared" si="148"/>
        <v>46548</v>
      </c>
      <c r="BO123" t="str">
        <f t="shared" si="149"/>
        <v>長畑　玲奈</v>
      </c>
    </row>
    <row r="124" spans="1:67">
      <c r="A124">
        <v>9056020006</v>
      </c>
      <c r="B124" t="str">
        <f>""</f>
        <v/>
      </c>
      <c r="C124" t="str">
        <f>""</f>
        <v/>
      </c>
      <c r="D124" t="str">
        <f>"SPACER"</f>
        <v>SPACER</v>
      </c>
      <c r="E124" t="str">
        <f t="shared" si="69"/>
        <v>1Y</v>
      </c>
      <c r="F124" t="str">
        <f t="shared" si="70"/>
        <v>第１工場</v>
      </c>
      <c r="G124" t="str">
        <f t="shared" si="71"/>
        <v>手配</v>
      </c>
      <c r="H124" t="str">
        <f t="shared" si="72"/>
        <v>Ｐ</v>
      </c>
      <c r="I124" t="str">
        <f>"2411"</f>
        <v>2411</v>
      </c>
      <c r="J124" t="str">
        <f>"アイコー（株）"</f>
        <v>アイコー（株）</v>
      </c>
      <c r="K124" t="str">
        <f t="shared" si="127"/>
        <v>01</v>
      </c>
      <c r="L124" t="str">
        <f>""</f>
        <v/>
      </c>
      <c r="M124" t="str">
        <f t="shared" si="154"/>
        <v>――</v>
      </c>
      <c r="N124" t="str">
        <f t="shared" si="154"/>
        <v>――</v>
      </c>
      <c r="O124" t="str">
        <f t="shared" si="77"/>
        <v>Ｍ</v>
      </c>
      <c r="P124" t="str">
        <f t="shared" si="78"/>
        <v>01</v>
      </c>
      <c r="Q124" t="str">
        <f t="shared" si="79"/>
        <v>第１</v>
      </c>
      <c r="R124" t="str">
        <f t="shared" si="80"/>
        <v>1Y</v>
      </c>
      <c r="S124" t="str">
        <f t="shared" si="81"/>
        <v>安城第１工場</v>
      </c>
      <c r="T124" t="str">
        <f t="shared" si="82"/>
        <v>直接</v>
      </c>
      <c r="U124" t="str">
        <f>""</f>
        <v/>
      </c>
      <c r="V124" t="str">
        <f>""</f>
        <v/>
      </c>
      <c r="W124" t="str">
        <f>""</f>
        <v/>
      </c>
      <c r="X124">
        <v>1</v>
      </c>
      <c r="Y124">
        <v>2</v>
      </c>
      <c r="Z124">
        <v>3.92</v>
      </c>
      <c r="AA124">
        <v>1.32</v>
      </c>
      <c r="AB124">
        <v>3</v>
      </c>
      <c r="AC124">
        <v>1.32</v>
      </c>
      <c r="AD124">
        <v>1.32</v>
      </c>
      <c r="AE124">
        <v>1.1000000000000001</v>
      </c>
      <c r="AF124">
        <v>0.5</v>
      </c>
      <c r="AG124" t="str">
        <f>"031"</f>
        <v>031</v>
      </c>
      <c r="AH124" t="str">
        <f>"アイコー（株）"</f>
        <v>アイコー（株）</v>
      </c>
      <c r="AI124" t="str">
        <f>"002"</f>
        <v>002</v>
      </c>
      <c r="AJ124" t="str">
        <f>""</f>
        <v/>
      </c>
      <c r="AK124" t="str">
        <f>""</f>
        <v/>
      </c>
      <c r="AL124" t="str">
        <f>"0530"</f>
        <v>0530</v>
      </c>
      <c r="AM124" t="str">
        <f>"ｽﾍﾟ-ｻ-"</f>
        <v>ｽﾍﾟ-ｻ-</v>
      </c>
      <c r="AN124" t="str">
        <f>"012"</f>
        <v>012</v>
      </c>
      <c r="AO124" t="str">
        <f>"TP-131 ﾊﾝﾖｳ"</f>
        <v>TP-131 ﾊﾝﾖｳ</v>
      </c>
      <c r="AP124">
        <v>400</v>
      </c>
      <c r="AQ124" t="str">
        <f>""</f>
        <v/>
      </c>
      <c r="AR124" t="str">
        <f>""</f>
        <v/>
      </c>
      <c r="AS124" t="str">
        <f>""</f>
        <v/>
      </c>
      <c r="AT124" t="str">
        <f t="shared" si="87"/>
        <v>00</v>
      </c>
      <c r="AU124">
        <v>0.5</v>
      </c>
      <c r="AV124" t="str">
        <f>""</f>
        <v/>
      </c>
      <c r="AW124" t="str">
        <f>""</f>
        <v/>
      </c>
      <c r="AX124" t="str">
        <f>""</f>
        <v/>
      </c>
      <c r="AY124" t="str">
        <f>""</f>
        <v/>
      </c>
      <c r="AZ124" t="str">
        <f>""</f>
        <v/>
      </c>
      <c r="BA124" t="str">
        <f>""</f>
        <v/>
      </c>
      <c r="BB124" t="str">
        <f>"ＴＰ１３１フタナシ"</f>
        <v>ＴＰ１３１フタナシ</v>
      </c>
      <c r="BC124" t="str">
        <f>" 335.000"</f>
        <v xml:space="preserve"> 335.000</v>
      </c>
      <c r="BD124" t="str">
        <f>" 167.000"</f>
        <v xml:space="preserve"> 167.000</v>
      </c>
      <c r="BE124" t="str">
        <f>" 102.000"</f>
        <v xml:space="preserve"> 102.000</v>
      </c>
      <c r="BF124" t="str">
        <f>"   0.006"</f>
        <v xml:space="preserve">   0.006</v>
      </c>
      <c r="BG124" t="str">
        <f>"   1.700"</f>
        <v xml:space="preserve">   1.700</v>
      </c>
      <c r="BH124" t="str">
        <f t="shared" si="93"/>
        <v>しない</v>
      </c>
      <c r="BI124" t="str">
        <f>""</f>
        <v/>
      </c>
      <c r="BJ124" t="str">
        <f t="shared" si="94"/>
        <v>MASTER01</v>
      </c>
      <c r="BK124" t="str">
        <f>"2023/01/17"</f>
        <v>2023/01/17</v>
      </c>
      <c r="BL124" t="str">
        <f t="shared" si="95"/>
        <v>NE00</v>
      </c>
      <c r="BM124" t="str">
        <f t="shared" si="96"/>
        <v>１工工務Ｇ</v>
      </c>
      <c r="BN124" t="str">
        <f t="shared" si="148"/>
        <v>46548</v>
      </c>
      <c r="BO124" t="str">
        <f t="shared" si="149"/>
        <v>長畑　玲奈</v>
      </c>
    </row>
    <row r="125" spans="1:67">
      <c r="A125">
        <v>9034118060</v>
      </c>
      <c r="B125" t="str">
        <f>""</f>
        <v/>
      </c>
      <c r="C125" t="str">
        <f>""</f>
        <v/>
      </c>
      <c r="D125" t="s">
        <v>8</v>
      </c>
      <c r="E125" t="str">
        <f t="shared" si="69"/>
        <v>1Y</v>
      </c>
      <c r="F125" t="str">
        <f t="shared" si="70"/>
        <v>第１工場</v>
      </c>
      <c r="G125" t="str">
        <f t="shared" si="71"/>
        <v>手配</v>
      </c>
      <c r="H125" t="str">
        <f t="shared" si="72"/>
        <v>Ｐ</v>
      </c>
      <c r="I125" t="str">
        <f>"2502"</f>
        <v>2502</v>
      </c>
      <c r="J125" t="str">
        <f>"住友商事（株）鉄鋼部輸送機材"</f>
        <v>住友商事（株）鉄鋼部輸送機材</v>
      </c>
      <c r="K125" t="str">
        <f t="shared" si="127"/>
        <v>01</v>
      </c>
      <c r="L125" t="str">
        <f>"鉄鋼部輸送機材"</f>
        <v>鉄鋼部輸送機材</v>
      </c>
      <c r="M125" t="str">
        <f t="shared" si="154"/>
        <v>――</v>
      </c>
      <c r="N125" t="str">
        <f t="shared" si="154"/>
        <v>――</v>
      </c>
      <c r="O125" t="str">
        <f t="shared" si="77"/>
        <v>Ｍ</v>
      </c>
      <c r="P125" t="str">
        <f t="shared" si="78"/>
        <v>01</v>
      </c>
      <c r="Q125" t="str">
        <f t="shared" si="79"/>
        <v>第１</v>
      </c>
      <c r="R125" t="str">
        <f t="shared" si="80"/>
        <v>1Y</v>
      </c>
      <c r="S125" t="str">
        <f t="shared" si="81"/>
        <v>安城第１工場</v>
      </c>
      <c r="T125" t="str">
        <f t="shared" si="82"/>
        <v>直接</v>
      </c>
      <c r="U125" t="str">
        <f>""</f>
        <v/>
      </c>
      <c r="V125" t="str">
        <f>""</f>
        <v/>
      </c>
      <c r="W125" t="str">
        <f>""</f>
        <v/>
      </c>
      <c r="X125">
        <v>1</v>
      </c>
      <c r="Y125">
        <v>1</v>
      </c>
      <c r="Z125">
        <v>3</v>
      </c>
      <c r="AA125">
        <v>1.1499999999999999</v>
      </c>
      <c r="AB125">
        <v>3</v>
      </c>
      <c r="AC125">
        <v>1.1499999999999999</v>
      </c>
      <c r="AD125">
        <v>1.1499999999999999</v>
      </c>
      <c r="AE125">
        <v>1.1000000000000001</v>
      </c>
      <c r="AF125">
        <v>0.5</v>
      </c>
      <c r="AG125" t="str">
        <f>"219"</f>
        <v>219</v>
      </c>
      <c r="AH125" t="str">
        <f>"住友商事"</f>
        <v>住友商事</v>
      </c>
      <c r="AI125" t="str">
        <f>"001"</f>
        <v>001</v>
      </c>
      <c r="AJ125" t="str">
        <f>"C1-18"</f>
        <v>C1-18</v>
      </c>
      <c r="AK125" t="str">
        <f>"20451"</f>
        <v>20451</v>
      </c>
      <c r="AL125" t="str">
        <f>"0526"</f>
        <v>0526</v>
      </c>
      <c r="AM125" t="str">
        <f>"ﾌﾟﾗｸﾞS/AW/ﾍｯﾄﾞｽﾄﾚｰﾄｽｸﾘｭｰ"</f>
        <v>ﾌﾟﾗｸﾞS/AW/ﾍｯﾄﾞｽﾄﾚｰﾄｽｸﾘｭｰ</v>
      </c>
      <c r="AN125" t="str">
        <f>"014"</f>
        <v>014</v>
      </c>
      <c r="AO125" t="str">
        <f>"TP-331 ﾊﾝﾖｳ"</f>
        <v>TP-331 ﾊﾝﾖｳ</v>
      </c>
      <c r="AP125">
        <v>300</v>
      </c>
      <c r="AQ125" t="str">
        <f>""</f>
        <v/>
      </c>
      <c r="AR125" t="str">
        <f>""</f>
        <v/>
      </c>
      <c r="AS125" t="str">
        <f>""</f>
        <v/>
      </c>
      <c r="AT125" t="str">
        <f t="shared" si="87"/>
        <v>00</v>
      </c>
      <c r="AU125">
        <v>0.5</v>
      </c>
      <c r="AV125" t="str">
        <f>""</f>
        <v/>
      </c>
      <c r="AW125" t="str">
        <f t="shared" ref="AW125:AW130" si="155">"08"</f>
        <v>08</v>
      </c>
      <c r="AX125" t="str">
        <f t="shared" ref="AX125:AX130" si="156">"専用"</f>
        <v>専用</v>
      </c>
      <c r="AY125" t="str">
        <f t="shared" ref="AY125:AY130" si="157">"01"</f>
        <v>01</v>
      </c>
      <c r="AZ125" t="str">
        <f t="shared" ref="AZ125:AZ130" si="158">"後補充"</f>
        <v>後補充</v>
      </c>
      <c r="BA125" t="str">
        <f>""</f>
        <v/>
      </c>
      <c r="BB125" t="str">
        <f>"ＴＰ３３１フタナシ"</f>
        <v>ＴＰ３３１フタナシ</v>
      </c>
      <c r="BC125" t="str">
        <f>" 335.000"</f>
        <v xml:space="preserve"> 335.000</v>
      </c>
      <c r="BD125" t="str">
        <f t="shared" ref="BD125:BD138" si="159">" 335.000"</f>
        <v xml:space="preserve"> 335.000</v>
      </c>
      <c r="BE125" t="str">
        <f>" 103.000"</f>
        <v xml:space="preserve"> 103.000</v>
      </c>
      <c r="BF125" t="str">
        <f>"   0.012"</f>
        <v xml:space="preserve">   0.012</v>
      </c>
      <c r="BG125" t="str">
        <f>"  13.560"</f>
        <v xml:space="preserve">  13.560</v>
      </c>
      <c r="BH125" t="str">
        <f t="shared" si="93"/>
        <v>しない</v>
      </c>
      <c r="BI125" t="str">
        <f>""</f>
        <v/>
      </c>
      <c r="BJ125" t="str">
        <f t="shared" si="94"/>
        <v>MASTER01</v>
      </c>
      <c r="BK125" t="str">
        <f t="shared" ref="BK125:BK130" si="160">"2022/04/19"</f>
        <v>2022/04/19</v>
      </c>
      <c r="BL125" t="str">
        <f t="shared" si="95"/>
        <v>NE00</v>
      </c>
      <c r="BM125" t="str">
        <f t="shared" si="96"/>
        <v>１工工務Ｇ</v>
      </c>
      <c r="BN125" t="str">
        <f t="shared" si="148"/>
        <v>46548</v>
      </c>
      <c r="BO125" t="str">
        <f t="shared" si="149"/>
        <v>長畑　玲奈</v>
      </c>
    </row>
    <row r="126" spans="1:67">
      <c r="A126" t="s">
        <v>215</v>
      </c>
      <c r="B126" t="str">
        <f>""</f>
        <v/>
      </c>
      <c r="C126" t="str">
        <f>""</f>
        <v/>
      </c>
      <c r="D126" t="s">
        <v>56</v>
      </c>
      <c r="E126" t="str">
        <f t="shared" si="69"/>
        <v>1Y</v>
      </c>
      <c r="F126" t="str">
        <f t="shared" si="70"/>
        <v>第１工場</v>
      </c>
      <c r="G126" t="str">
        <f t="shared" si="71"/>
        <v>手配</v>
      </c>
      <c r="H126" t="str">
        <f t="shared" si="72"/>
        <v>Ｐ</v>
      </c>
      <c r="I126" t="str">
        <f>"2506"</f>
        <v>2506</v>
      </c>
      <c r="J126" t="str">
        <f>"住友電装（株）"</f>
        <v>住友電装（株）</v>
      </c>
      <c r="K126" t="str">
        <f t="shared" si="127"/>
        <v>01</v>
      </c>
      <c r="L126" t="str">
        <f>""</f>
        <v/>
      </c>
      <c r="M126" t="str">
        <f t="shared" si="154"/>
        <v>――</v>
      </c>
      <c r="N126" t="str">
        <f t="shared" si="154"/>
        <v>――</v>
      </c>
      <c r="O126" t="str">
        <f t="shared" si="77"/>
        <v>Ｍ</v>
      </c>
      <c r="P126" t="str">
        <f t="shared" si="78"/>
        <v>01</v>
      </c>
      <c r="Q126" t="str">
        <f t="shared" si="79"/>
        <v>第１</v>
      </c>
      <c r="R126" t="str">
        <f t="shared" si="80"/>
        <v>1Y</v>
      </c>
      <c r="S126" t="str">
        <f t="shared" si="81"/>
        <v>安城第１工場</v>
      </c>
      <c r="T126" t="str">
        <f t="shared" si="82"/>
        <v>直接</v>
      </c>
      <c r="U126" t="str">
        <f>""</f>
        <v/>
      </c>
      <c r="V126" t="str">
        <f>""</f>
        <v/>
      </c>
      <c r="W126" t="str">
        <f>""</f>
        <v/>
      </c>
      <c r="X126">
        <v>1</v>
      </c>
      <c r="Y126">
        <v>1</v>
      </c>
      <c r="Z126">
        <v>1</v>
      </c>
      <c r="AA126">
        <v>0.99</v>
      </c>
      <c r="AB126">
        <v>3</v>
      </c>
      <c r="AC126">
        <v>0.99</v>
      </c>
      <c r="AD126">
        <v>0.99</v>
      </c>
      <c r="AE126">
        <v>1.1000000000000001</v>
      </c>
      <c r="AF126">
        <v>0.5</v>
      </c>
      <c r="AG126" t="str">
        <f>"097"</f>
        <v>097</v>
      </c>
      <c r="AH126" t="str">
        <f>"住友電装（株）"</f>
        <v>住友電装（株）</v>
      </c>
      <c r="AI126" t="str">
        <f>"002"</f>
        <v>002</v>
      </c>
      <c r="AJ126" t="str">
        <f>"M-MG-41"</f>
        <v>M-MG-41</v>
      </c>
      <c r="AK126" t="str">
        <f>"FUYOU"</f>
        <v>FUYOU</v>
      </c>
      <c r="AL126" t="str">
        <f>"9208"</f>
        <v>9208</v>
      </c>
      <c r="AM126" t="str">
        <f>"ﾜｲﾔﾘﾝｸﾞﾊｰﾈｽｺﾈｸﾀ"</f>
        <v>ﾜｲﾔﾘﾝｸﾞﾊｰﾈｽｺﾈｸﾀ</v>
      </c>
      <c r="AN126" t="str">
        <f>"016"</f>
        <v>016</v>
      </c>
      <c r="AO126" t="str">
        <f>"TP-332 ﾊﾝﾖｳ"</f>
        <v>TP-332 ﾊﾝﾖｳ</v>
      </c>
      <c r="AP126">
        <v>45</v>
      </c>
      <c r="AQ126" t="str">
        <f>""</f>
        <v/>
      </c>
      <c r="AR126" t="str">
        <f>""</f>
        <v/>
      </c>
      <c r="AS126" t="str">
        <f>""</f>
        <v/>
      </c>
      <c r="AT126" t="str">
        <f t="shared" si="87"/>
        <v>00</v>
      </c>
      <c r="AU126">
        <v>0.5</v>
      </c>
      <c r="AV126" t="str">
        <f>""</f>
        <v/>
      </c>
      <c r="AW126" t="str">
        <f t="shared" si="155"/>
        <v>08</v>
      </c>
      <c r="AX126" t="str">
        <f t="shared" si="156"/>
        <v>専用</v>
      </c>
      <c r="AY126" t="str">
        <f t="shared" si="157"/>
        <v>01</v>
      </c>
      <c r="AZ126" t="str">
        <f t="shared" si="158"/>
        <v>後補充</v>
      </c>
      <c r="BA126" t="str">
        <f>""</f>
        <v/>
      </c>
      <c r="BB126" t="str">
        <f>"ＴＰ３３２フタアリ"</f>
        <v>ＴＰ３３２フタアリ</v>
      </c>
      <c r="BC126" t="str">
        <f>" 335.000"</f>
        <v xml:space="preserve"> 335.000</v>
      </c>
      <c r="BD126" t="str">
        <f t="shared" si="159"/>
        <v xml:space="preserve"> 335.000</v>
      </c>
      <c r="BE126" t="str">
        <f>" 216.000"</f>
        <v xml:space="preserve"> 216.000</v>
      </c>
      <c r="BF126" t="str">
        <f>"   0.024"</f>
        <v xml:space="preserve">   0.024</v>
      </c>
      <c r="BG126" t="str">
        <f>"   4.620"</f>
        <v xml:space="preserve">   4.620</v>
      </c>
      <c r="BH126" t="str">
        <f t="shared" si="93"/>
        <v>しない</v>
      </c>
      <c r="BI126" t="str">
        <f>""</f>
        <v/>
      </c>
      <c r="BJ126" t="str">
        <f t="shared" si="94"/>
        <v>MASTER01</v>
      </c>
      <c r="BK126" t="str">
        <f t="shared" si="160"/>
        <v>2022/04/19</v>
      </c>
      <c r="BL126" t="str">
        <f t="shared" si="95"/>
        <v>NE00</v>
      </c>
      <c r="BM126" t="str">
        <f t="shared" si="96"/>
        <v>１工工務Ｇ</v>
      </c>
      <c r="BN126" t="str">
        <f t="shared" si="148"/>
        <v>46548</v>
      </c>
      <c r="BO126" t="str">
        <f t="shared" si="149"/>
        <v>長畑　玲奈</v>
      </c>
    </row>
    <row r="127" spans="1:67">
      <c r="A127" t="s">
        <v>215</v>
      </c>
      <c r="B127" t="str">
        <f>""</f>
        <v/>
      </c>
      <c r="C127" t="str">
        <f>""</f>
        <v/>
      </c>
      <c r="D127" t="s">
        <v>56</v>
      </c>
      <c r="E127" t="str">
        <f t="shared" si="69"/>
        <v>1Y</v>
      </c>
      <c r="F127" t="str">
        <f t="shared" si="70"/>
        <v>第１工場</v>
      </c>
      <c r="G127" t="str">
        <f t="shared" si="71"/>
        <v>手配</v>
      </c>
      <c r="H127" t="str">
        <f t="shared" si="72"/>
        <v>Ｐ</v>
      </c>
      <c r="I127" t="str">
        <f>"2506"</f>
        <v>2506</v>
      </c>
      <c r="J127" t="str">
        <f>"住友電装（株）"</f>
        <v>住友電装（株）</v>
      </c>
      <c r="K127" t="str">
        <f>"04"</f>
        <v>04</v>
      </c>
      <c r="L127" t="str">
        <f>"四日市物流センター"</f>
        <v>四日市物流センター</v>
      </c>
      <c r="M127" t="str">
        <f t="shared" si="154"/>
        <v>――</v>
      </c>
      <c r="N127" t="str">
        <f t="shared" si="154"/>
        <v>――</v>
      </c>
      <c r="O127" t="str">
        <f t="shared" si="77"/>
        <v>Ｍ</v>
      </c>
      <c r="P127" t="str">
        <f t="shared" si="78"/>
        <v>01</v>
      </c>
      <c r="Q127" t="str">
        <f t="shared" si="79"/>
        <v>第１</v>
      </c>
      <c r="R127" t="str">
        <f t="shared" si="80"/>
        <v>1Y</v>
      </c>
      <c r="S127" t="str">
        <f t="shared" si="81"/>
        <v>安城第１工場</v>
      </c>
      <c r="T127" t="str">
        <f t="shared" si="82"/>
        <v>直接</v>
      </c>
      <c r="U127" t="str">
        <f>""</f>
        <v/>
      </c>
      <c r="V127" t="str">
        <f>""</f>
        <v/>
      </c>
      <c r="W127" t="str">
        <f>""</f>
        <v/>
      </c>
      <c r="X127">
        <v>1</v>
      </c>
      <c r="Y127">
        <v>1</v>
      </c>
      <c r="Z127">
        <v>3.25</v>
      </c>
      <c r="AA127">
        <v>0.99</v>
      </c>
      <c r="AB127">
        <v>3</v>
      </c>
      <c r="AC127">
        <v>0.99</v>
      </c>
      <c r="AD127">
        <v>0.99</v>
      </c>
      <c r="AE127">
        <v>1.1000000000000001</v>
      </c>
      <c r="AF127">
        <v>0.5</v>
      </c>
      <c r="AG127" t="str">
        <f>"097"</f>
        <v>097</v>
      </c>
      <c r="AH127" t="str">
        <f>"住友電装（株）"</f>
        <v>住友電装（株）</v>
      </c>
      <c r="AI127" t="str">
        <f>"001"</f>
        <v>001</v>
      </c>
      <c r="AJ127" t="str">
        <f>"M-MG-41"</f>
        <v>M-MG-41</v>
      </c>
      <c r="AK127" t="str">
        <f>"30455"</f>
        <v>30455</v>
      </c>
      <c r="AL127" t="str">
        <f>"9208"</f>
        <v>9208</v>
      </c>
      <c r="AM127" t="str">
        <f>"ﾜｲﾔﾘﾝｸﾞﾊｰﾈｽｺﾈｸﾀ"</f>
        <v>ﾜｲﾔﾘﾝｸﾞﾊｰﾈｽｺﾈｸﾀ</v>
      </c>
      <c r="AN127" t="str">
        <f>"016"</f>
        <v>016</v>
      </c>
      <c r="AO127" t="str">
        <f>"TP-332 ﾊﾝﾖｳ"</f>
        <v>TP-332 ﾊﾝﾖｳ</v>
      </c>
      <c r="AP127">
        <v>45</v>
      </c>
      <c r="AQ127" t="str">
        <f>""</f>
        <v/>
      </c>
      <c r="AR127" t="str">
        <f>""</f>
        <v/>
      </c>
      <c r="AS127" t="str">
        <f>""</f>
        <v/>
      </c>
      <c r="AT127" t="str">
        <f t="shared" si="87"/>
        <v>00</v>
      </c>
      <c r="AU127">
        <v>0.5</v>
      </c>
      <c r="AV127" t="str">
        <f>""</f>
        <v/>
      </c>
      <c r="AW127" t="str">
        <f t="shared" si="155"/>
        <v>08</v>
      </c>
      <c r="AX127" t="str">
        <f t="shared" si="156"/>
        <v>専用</v>
      </c>
      <c r="AY127" t="str">
        <f t="shared" si="157"/>
        <v>01</v>
      </c>
      <c r="AZ127" t="str">
        <f t="shared" si="158"/>
        <v>後補充</v>
      </c>
      <c r="BA127" t="str">
        <f>""</f>
        <v/>
      </c>
      <c r="BB127" t="str">
        <f>""</f>
        <v/>
      </c>
      <c r="BC127" t="str">
        <f>" 335.000"</f>
        <v xml:space="preserve"> 335.000</v>
      </c>
      <c r="BD127" t="str">
        <f t="shared" si="159"/>
        <v xml:space="preserve"> 335.000</v>
      </c>
      <c r="BE127" t="str">
        <f>" 216.000"</f>
        <v xml:space="preserve"> 216.000</v>
      </c>
      <c r="BF127" t="str">
        <f>"   0.024"</f>
        <v xml:space="preserve">   0.024</v>
      </c>
      <c r="BG127" t="str">
        <f>"   4.620"</f>
        <v xml:space="preserve">   4.620</v>
      </c>
      <c r="BH127" t="str">
        <f t="shared" si="93"/>
        <v>しない</v>
      </c>
      <c r="BI127" t="str">
        <f>""</f>
        <v/>
      </c>
      <c r="BJ127" t="str">
        <f t="shared" si="94"/>
        <v>MASTER01</v>
      </c>
      <c r="BK127" t="str">
        <f t="shared" si="160"/>
        <v>2022/04/19</v>
      </c>
      <c r="BL127" t="str">
        <f t="shared" si="95"/>
        <v>NE00</v>
      </c>
      <c r="BM127" t="str">
        <f t="shared" si="96"/>
        <v>１工工務Ｇ</v>
      </c>
      <c r="BN127" t="str">
        <f t="shared" si="148"/>
        <v>46548</v>
      </c>
      <c r="BO127" t="str">
        <f t="shared" si="149"/>
        <v>長畑　玲奈</v>
      </c>
    </row>
    <row r="128" spans="1:67">
      <c r="A128" t="s">
        <v>216</v>
      </c>
      <c r="B128" t="str">
        <f>""</f>
        <v/>
      </c>
      <c r="C128" t="str">
        <f>""</f>
        <v/>
      </c>
      <c r="D128" t="s">
        <v>57</v>
      </c>
      <c r="E128" t="str">
        <f t="shared" si="69"/>
        <v>1Y</v>
      </c>
      <c r="F128" t="str">
        <f t="shared" si="70"/>
        <v>第１工場</v>
      </c>
      <c r="G128" t="str">
        <f t="shared" si="71"/>
        <v>手配</v>
      </c>
      <c r="H128" t="str">
        <f t="shared" si="72"/>
        <v>Ｐ</v>
      </c>
      <c r="I128" t="str">
        <f>"2506"</f>
        <v>2506</v>
      </c>
      <c r="J128" t="str">
        <f>"住友電装（株）"</f>
        <v>住友電装（株）</v>
      </c>
      <c r="K128" t="str">
        <f t="shared" ref="K128:K180" si="161">"01"</f>
        <v>01</v>
      </c>
      <c r="L128" t="str">
        <f>""</f>
        <v/>
      </c>
      <c r="M128" t="str">
        <f t="shared" si="154"/>
        <v>――</v>
      </c>
      <c r="N128" t="str">
        <f t="shared" si="154"/>
        <v>――</v>
      </c>
      <c r="O128" t="str">
        <f t="shared" si="77"/>
        <v>Ｍ</v>
      </c>
      <c r="P128" t="str">
        <f t="shared" si="78"/>
        <v>01</v>
      </c>
      <c r="Q128" t="str">
        <f t="shared" si="79"/>
        <v>第１</v>
      </c>
      <c r="R128" t="str">
        <f t="shared" si="80"/>
        <v>1Y</v>
      </c>
      <c r="S128" t="str">
        <f t="shared" si="81"/>
        <v>安城第１工場</v>
      </c>
      <c r="T128" t="str">
        <f t="shared" si="82"/>
        <v>直接</v>
      </c>
      <c r="U128" t="str">
        <f>""</f>
        <v/>
      </c>
      <c r="V128" t="str">
        <f>""</f>
        <v/>
      </c>
      <c r="W128" t="str">
        <f>""</f>
        <v/>
      </c>
      <c r="X128">
        <v>1</v>
      </c>
      <c r="Y128">
        <v>1</v>
      </c>
      <c r="Z128">
        <v>2.2799999999999998</v>
      </c>
      <c r="AA128">
        <v>1.08</v>
      </c>
      <c r="AB128">
        <v>3</v>
      </c>
      <c r="AC128">
        <v>1.08</v>
      </c>
      <c r="AD128">
        <v>1.08</v>
      </c>
      <c r="AE128">
        <v>1.1000000000000001</v>
      </c>
      <c r="AF128">
        <v>0.5</v>
      </c>
      <c r="AG128" t="str">
        <f>"097"</f>
        <v>097</v>
      </c>
      <c r="AH128" t="str">
        <f>"住友電装（株）"</f>
        <v>住友電装（株）</v>
      </c>
      <c r="AI128" t="str">
        <f>"001"</f>
        <v>001</v>
      </c>
      <c r="AJ128" t="str">
        <f>"S-MG-19"</f>
        <v>S-MG-19</v>
      </c>
      <c r="AK128" t="str">
        <f>"50453"</f>
        <v>50453</v>
      </c>
      <c r="AL128" t="str">
        <f>"6404"</f>
        <v>6404</v>
      </c>
      <c r="AM128" t="s">
        <v>58</v>
      </c>
      <c r="AN128" t="str">
        <f>"022"</f>
        <v>022</v>
      </c>
      <c r="AO128" t="str">
        <f>"TP-362 ﾊﾝﾖｳ"</f>
        <v>TP-362 ﾊﾝﾖｳ</v>
      </c>
      <c r="AP128">
        <v>50</v>
      </c>
      <c r="AQ128" t="str">
        <f>""</f>
        <v/>
      </c>
      <c r="AR128" t="str">
        <f>""</f>
        <v/>
      </c>
      <c r="AS128" t="str">
        <f>""</f>
        <v/>
      </c>
      <c r="AT128" t="str">
        <f t="shared" si="87"/>
        <v>00</v>
      </c>
      <c r="AU128">
        <v>0.5</v>
      </c>
      <c r="AV128" t="str">
        <f>""</f>
        <v/>
      </c>
      <c r="AW128" t="str">
        <f t="shared" si="155"/>
        <v>08</v>
      </c>
      <c r="AX128" t="str">
        <f t="shared" si="156"/>
        <v>専用</v>
      </c>
      <c r="AY128" t="str">
        <f t="shared" si="157"/>
        <v>01</v>
      </c>
      <c r="AZ128" t="str">
        <f t="shared" si="158"/>
        <v>後補充</v>
      </c>
      <c r="BA128" t="str">
        <f>""</f>
        <v/>
      </c>
      <c r="BB128" t="str">
        <f>"ＴＰ３６２フタナシ"</f>
        <v>ＴＰ３６２フタナシ</v>
      </c>
      <c r="BC128" t="str">
        <f>" 670.000"</f>
        <v xml:space="preserve"> 670.000</v>
      </c>
      <c r="BD128" t="str">
        <f t="shared" si="159"/>
        <v xml:space="preserve"> 335.000</v>
      </c>
      <c r="BE128" t="str">
        <f>" 195.000"</f>
        <v xml:space="preserve"> 195.000</v>
      </c>
      <c r="BF128" t="str">
        <f>"   0.044"</f>
        <v xml:space="preserve">   0.044</v>
      </c>
      <c r="BG128" t="str">
        <f>"   6.250"</f>
        <v xml:space="preserve">   6.250</v>
      </c>
      <c r="BH128" t="str">
        <f t="shared" si="93"/>
        <v>しない</v>
      </c>
      <c r="BI128" t="str">
        <f>""</f>
        <v/>
      </c>
      <c r="BJ128" t="str">
        <f t="shared" si="94"/>
        <v>MASTER01</v>
      </c>
      <c r="BK128" t="str">
        <f t="shared" si="160"/>
        <v>2022/04/19</v>
      </c>
      <c r="BL128" t="str">
        <f t="shared" si="95"/>
        <v>NE00</v>
      </c>
      <c r="BM128" t="str">
        <f t="shared" si="96"/>
        <v>１工工務Ｇ</v>
      </c>
      <c r="BN128" t="str">
        <f t="shared" si="148"/>
        <v>46548</v>
      </c>
      <c r="BO128" t="str">
        <f t="shared" si="149"/>
        <v>長畑　玲奈</v>
      </c>
    </row>
    <row r="129" spans="1:67">
      <c r="A129" t="s">
        <v>217</v>
      </c>
      <c r="B129" t="str">
        <f>""</f>
        <v/>
      </c>
      <c r="C129" t="str">
        <f>""</f>
        <v/>
      </c>
      <c r="D129" t="s">
        <v>57</v>
      </c>
      <c r="E129" t="str">
        <f t="shared" si="69"/>
        <v>1Y</v>
      </c>
      <c r="F129" t="str">
        <f t="shared" si="70"/>
        <v>第１工場</v>
      </c>
      <c r="G129" t="str">
        <f t="shared" si="71"/>
        <v>手配</v>
      </c>
      <c r="H129" t="str">
        <f t="shared" si="72"/>
        <v>Ｐ</v>
      </c>
      <c r="I129" t="str">
        <f>"2506"</f>
        <v>2506</v>
      </c>
      <c r="J129" t="str">
        <f>"住友電装（株）"</f>
        <v>住友電装（株）</v>
      </c>
      <c r="K129" t="str">
        <f t="shared" si="161"/>
        <v>01</v>
      </c>
      <c r="L129" t="str">
        <f>""</f>
        <v/>
      </c>
      <c r="M129" t="str">
        <f t="shared" si="154"/>
        <v>――</v>
      </c>
      <c r="N129" t="str">
        <f t="shared" si="154"/>
        <v>――</v>
      </c>
      <c r="O129" t="str">
        <f t="shared" si="77"/>
        <v>Ｍ</v>
      </c>
      <c r="P129" t="str">
        <f t="shared" si="78"/>
        <v>01</v>
      </c>
      <c r="Q129" t="str">
        <f t="shared" si="79"/>
        <v>第１</v>
      </c>
      <c r="R129" t="str">
        <f t="shared" si="80"/>
        <v>1Y</v>
      </c>
      <c r="S129" t="str">
        <f t="shared" si="81"/>
        <v>安城第１工場</v>
      </c>
      <c r="T129" t="str">
        <f t="shared" si="82"/>
        <v>直接</v>
      </c>
      <c r="U129" t="str">
        <f>""</f>
        <v/>
      </c>
      <c r="V129" t="str">
        <f>""</f>
        <v/>
      </c>
      <c r="W129" t="str">
        <f>""</f>
        <v/>
      </c>
      <c r="X129">
        <v>1</v>
      </c>
      <c r="Y129">
        <v>1</v>
      </c>
      <c r="Z129">
        <v>2.2799999999999998</v>
      </c>
      <c r="AA129">
        <v>1.08</v>
      </c>
      <c r="AB129">
        <v>3</v>
      </c>
      <c r="AC129">
        <v>1.08</v>
      </c>
      <c r="AD129">
        <v>1.08</v>
      </c>
      <c r="AE129">
        <v>1.1000000000000001</v>
      </c>
      <c r="AF129">
        <v>0.5</v>
      </c>
      <c r="AG129" t="str">
        <f>"097"</f>
        <v>097</v>
      </c>
      <c r="AH129" t="str">
        <f>"住友電装（株）"</f>
        <v>住友電装（株）</v>
      </c>
      <c r="AI129" t="str">
        <f>"003"</f>
        <v>003</v>
      </c>
      <c r="AJ129" t="str">
        <f>"S-MG-18"</f>
        <v>S-MG-18</v>
      </c>
      <c r="AK129" t="str">
        <f>"50454"</f>
        <v>50454</v>
      </c>
      <c r="AL129" t="str">
        <f>"6404"</f>
        <v>6404</v>
      </c>
      <c r="AM129" t="s">
        <v>58</v>
      </c>
      <c r="AN129" t="str">
        <f>"022"</f>
        <v>022</v>
      </c>
      <c r="AO129" t="str">
        <f>"TP-362 ﾊﾝﾖｳ"</f>
        <v>TP-362 ﾊﾝﾖｳ</v>
      </c>
      <c r="AP129">
        <v>50</v>
      </c>
      <c r="AQ129" t="str">
        <f>""</f>
        <v/>
      </c>
      <c r="AR129" t="str">
        <f>""</f>
        <v/>
      </c>
      <c r="AS129" t="str">
        <f>""</f>
        <v/>
      </c>
      <c r="AT129" t="str">
        <f t="shared" si="87"/>
        <v>00</v>
      </c>
      <c r="AU129">
        <v>0.5</v>
      </c>
      <c r="AV129" t="str">
        <f>""</f>
        <v/>
      </c>
      <c r="AW129" t="str">
        <f t="shared" si="155"/>
        <v>08</v>
      </c>
      <c r="AX129" t="str">
        <f t="shared" si="156"/>
        <v>専用</v>
      </c>
      <c r="AY129" t="str">
        <f t="shared" si="157"/>
        <v>01</v>
      </c>
      <c r="AZ129" t="str">
        <f t="shared" si="158"/>
        <v>後補充</v>
      </c>
      <c r="BA129" t="str">
        <f>""</f>
        <v/>
      </c>
      <c r="BB129" t="str">
        <f>"ＴＰ３６２フタナシ"</f>
        <v>ＴＰ３６２フタナシ</v>
      </c>
      <c r="BC129" t="str">
        <f>" 670.000"</f>
        <v xml:space="preserve"> 670.000</v>
      </c>
      <c r="BD129" t="str">
        <f t="shared" si="159"/>
        <v xml:space="preserve"> 335.000</v>
      </c>
      <c r="BE129" t="str">
        <f>" 195.000"</f>
        <v xml:space="preserve"> 195.000</v>
      </c>
      <c r="BF129" t="str">
        <f>"   0.044"</f>
        <v xml:space="preserve">   0.044</v>
      </c>
      <c r="BG129" t="str">
        <f>"   5.900"</f>
        <v xml:space="preserve">   5.900</v>
      </c>
      <c r="BH129" t="str">
        <f t="shared" si="93"/>
        <v>しない</v>
      </c>
      <c r="BI129" t="str">
        <f>""</f>
        <v/>
      </c>
      <c r="BJ129" t="str">
        <f t="shared" si="94"/>
        <v>MASTER01</v>
      </c>
      <c r="BK129" t="str">
        <f t="shared" si="160"/>
        <v>2022/04/19</v>
      </c>
      <c r="BL129" t="str">
        <f t="shared" si="95"/>
        <v>NE00</v>
      </c>
      <c r="BM129" t="str">
        <f t="shared" si="96"/>
        <v>１工工務Ｇ</v>
      </c>
      <c r="BN129" t="str">
        <f t="shared" si="148"/>
        <v>46548</v>
      </c>
      <c r="BO129" t="str">
        <f t="shared" si="149"/>
        <v>長畑　玲奈</v>
      </c>
    </row>
    <row r="130" spans="1:67">
      <c r="A130" t="s">
        <v>218</v>
      </c>
      <c r="B130" t="str">
        <f>""</f>
        <v/>
      </c>
      <c r="C130" t="str">
        <f>""</f>
        <v/>
      </c>
      <c r="D130" t="s">
        <v>59</v>
      </c>
      <c r="E130" t="str">
        <f t="shared" ref="E130:E193" si="162">"1Y"</f>
        <v>1Y</v>
      </c>
      <c r="F130" t="str">
        <f t="shared" ref="F130:F193" si="163">"第１工場"</f>
        <v>第１工場</v>
      </c>
      <c r="G130" t="str">
        <f t="shared" ref="G130:G193" si="164">"手配"</f>
        <v>手配</v>
      </c>
      <c r="H130" t="str">
        <f t="shared" ref="H130:H193" si="165">"Ｐ"</f>
        <v>Ｐ</v>
      </c>
      <c r="I130" t="str">
        <f>"2508"</f>
        <v>2508</v>
      </c>
      <c r="J130" t="str">
        <f>"住友電気工業（株）"</f>
        <v>住友電気工業（株）</v>
      </c>
      <c r="K130" t="str">
        <f t="shared" si="161"/>
        <v>01</v>
      </c>
      <c r="L130" t="str">
        <f>""</f>
        <v/>
      </c>
      <c r="M130" t="str">
        <f t="shared" si="154"/>
        <v>――</v>
      </c>
      <c r="N130" t="str">
        <f t="shared" si="154"/>
        <v>――</v>
      </c>
      <c r="O130" t="str">
        <f t="shared" ref="O130:O193" si="166">"Ｍ"</f>
        <v>Ｍ</v>
      </c>
      <c r="P130" t="str">
        <f t="shared" ref="P130:P193" si="167">"01"</f>
        <v>01</v>
      </c>
      <c r="Q130" t="str">
        <f t="shared" ref="Q130:Q193" si="168">"第１"</f>
        <v>第１</v>
      </c>
      <c r="R130" t="str">
        <f t="shared" ref="R130:R193" si="169">"1Y"</f>
        <v>1Y</v>
      </c>
      <c r="S130" t="str">
        <f t="shared" ref="S130:S193" si="170">"安城第１工場"</f>
        <v>安城第１工場</v>
      </c>
      <c r="T130" t="str">
        <f t="shared" ref="T130:T193" si="171">"直接"</f>
        <v>直接</v>
      </c>
      <c r="U130" t="str">
        <f>""</f>
        <v/>
      </c>
      <c r="V130" t="str">
        <f>""</f>
        <v/>
      </c>
      <c r="W130" t="str">
        <f>""</f>
        <v/>
      </c>
      <c r="X130">
        <v>1</v>
      </c>
      <c r="Y130">
        <v>1</v>
      </c>
      <c r="Z130">
        <v>2.2799999999999998</v>
      </c>
      <c r="AA130">
        <v>1.08</v>
      </c>
      <c r="AB130">
        <v>3</v>
      </c>
      <c r="AC130">
        <v>1.08</v>
      </c>
      <c r="AD130">
        <v>1.08</v>
      </c>
      <c r="AE130">
        <v>1.1000000000000001</v>
      </c>
      <c r="AF130">
        <v>0.5</v>
      </c>
      <c r="AG130" t="str">
        <f>"623"</f>
        <v>623</v>
      </c>
      <c r="AH130" t="str">
        <f>"住友電気工業（株）"</f>
        <v>住友電気工業（株）</v>
      </c>
      <c r="AI130" t="str">
        <f>"001"</f>
        <v>001</v>
      </c>
      <c r="AJ130" t="str">
        <f>"M-MG-14"</f>
        <v>M-MG-14</v>
      </c>
      <c r="AK130" t="str">
        <f>"20452"</f>
        <v>20452</v>
      </c>
      <c r="AL130" t="str">
        <f>"0033"</f>
        <v>0033</v>
      </c>
      <c r="AM130" t="s">
        <v>60</v>
      </c>
      <c r="AN130" t="str">
        <f>"014"</f>
        <v>014</v>
      </c>
      <c r="AO130" t="str">
        <f>"TP-331 ﾊﾝﾖｳ"</f>
        <v>TP-331 ﾊﾝﾖｳ</v>
      </c>
      <c r="AP130">
        <v>6</v>
      </c>
      <c r="AQ130" t="str">
        <f>""</f>
        <v/>
      </c>
      <c r="AR130" t="str">
        <f>""</f>
        <v/>
      </c>
      <c r="AS130" t="str">
        <f>""</f>
        <v/>
      </c>
      <c r="AT130" t="str">
        <f t="shared" ref="AT130:AT191" si="172">"00"</f>
        <v>00</v>
      </c>
      <c r="AU130">
        <v>0.5</v>
      </c>
      <c r="AV130" t="str">
        <f>""</f>
        <v/>
      </c>
      <c r="AW130" t="str">
        <f t="shared" si="155"/>
        <v>08</v>
      </c>
      <c r="AX130" t="str">
        <f t="shared" si="156"/>
        <v>専用</v>
      </c>
      <c r="AY130" t="str">
        <f t="shared" si="157"/>
        <v>01</v>
      </c>
      <c r="AZ130" t="str">
        <f t="shared" si="158"/>
        <v>後補充</v>
      </c>
      <c r="BA130" t="str">
        <f>""</f>
        <v/>
      </c>
      <c r="BB130" t="str">
        <f>"ＴＰ３３１フタナシ"</f>
        <v>ＴＰ３３１フタナシ</v>
      </c>
      <c r="BC130" t="str">
        <f>" 335.000"</f>
        <v xml:space="preserve"> 335.000</v>
      </c>
      <c r="BD130" t="str">
        <f t="shared" si="159"/>
        <v xml:space="preserve"> 335.000</v>
      </c>
      <c r="BE130" t="str">
        <f>" 110.000"</f>
        <v xml:space="preserve"> 110.000</v>
      </c>
      <c r="BF130" t="str">
        <f>"   0.012"</f>
        <v xml:space="preserve">   0.012</v>
      </c>
      <c r="BG130" t="str">
        <f>"   2.288"</f>
        <v xml:space="preserve">   2.288</v>
      </c>
      <c r="BH130" t="str">
        <f t="shared" ref="BH130:BH157" si="173">"しない"</f>
        <v>しない</v>
      </c>
      <c r="BI130" t="str">
        <f>""</f>
        <v/>
      </c>
      <c r="BJ130" t="str">
        <f t="shared" ref="BJ130:BJ145" si="174">"MASTER01"</f>
        <v>MASTER01</v>
      </c>
      <c r="BK130" t="str">
        <f t="shared" si="160"/>
        <v>2022/04/19</v>
      </c>
      <c r="BL130" t="str">
        <f t="shared" ref="BL130:BL193" si="175">"NE00"</f>
        <v>NE00</v>
      </c>
      <c r="BM130" t="str">
        <f t="shared" ref="BM130:BM193" si="176">"１工工務Ｇ"</f>
        <v>１工工務Ｇ</v>
      </c>
      <c r="BN130" t="str">
        <f t="shared" si="148"/>
        <v>46548</v>
      </c>
      <c r="BO130" t="str">
        <f t="shared" si="149"/>
        <v>長畑　玲奈</v>
      </c>
    </row>
    <row r="131" spans="1:67">
      <c r="A131" t="s">
        <v>219</v>
      </c>
      <c r="B131" t="str">
        <f>""</f>
        <v/>
      </c>
      <c r="C131" t="str">
        <f>""</f>
        <v/>
      </c>
      <c r="D131" t="s">
        <v>61</v>
      </c>
      <c r="E131" t="str">
        <f t="shared" si="162"/>
        <v>1Y</v>
      </c>
      <c r="F131" t="str">
        <f t="shared" si="163"/>
        <v>第１工場</v>
      </c>
      <c r="G131" t="str">
        <f t="shared" si="164"/>
        <v>手配</v>
      </c>
      <c r="H131" t="str">
        <f t="shared" si="165"/>
        <v>Ｐ</v>
      </c>
      <c r="I131" t="str">
        <f>"3102"</f>
        <v>3102</v>
      </c>
      <c r="J131" t="str">
        <f>"多摩川精機販売（株）"</f>
        <v>多摩川精機販売（株）</v>
      </c>
      <c r="K131" t="str">
        <f t="shared" si="161"/>
        <v>01</v>
      </c>
      <c r="L131" t="str">
        <f>""</f>
        <v/>
      </c>
      <c r="M131" t="str">
        <f t="shared" si="154"/>
        <v>――</v>
      </c>
      <c r="N131" t="str">
        <f t="shared" si="154"/>
        <v>――</v>
      </c>
      <c r="O131" t="str">
        <f t="shared" si="166"/>
        <v>Ｍ</v>
      </c>
      <c r="P131" t="str">
        <f t="shared" si="167"/>
        <v>01</v>
      </c>
      <c r="Q131" t="str">
        <f t="shared" si="168"/>
        <v>第１</v>
      </c>
      <c r="R131" t="str">
        <f t="shared" si="169"/>
        <v>1Y</v>
      </c>
      <c r="S131" t="str">
        <f t="shared" si="170"/>
        <v>安城第１工場</v>
      </c>
      <c r="T131" t="str">
        <f t="shared" si="171"/>
        <v>直接</v>
      </c>
      <c r="U131" t="str">
        <f>""</f>
        <v/>
      </c>
      <c r="V131" t="str">
        <f>""</f>
        <v/>
      </c>
      <c r="W131" t="str">
        <f>""</f>
        <v/>
      </c>
      <c r="X131">
        <v>1</v>
      </c>
      <c r="Y131">
        <v>1</v>
      </c>
      <c r="Z131">
        <v>3.05</v>
      </c>
      <c r="AA131">
        <v>1.1599999999999999</v>
      </c>
      <c r="AB131">
        <v>3</v>
      </c>
      <c r="AC131">
        <v>1.1599999999999999</v>
      </c>
      <c r="AD131">
        <v>1.1599999999999999</v>
      </c>
      <c r="AE131">
        <v>1.1000000000000001</v>
      </c>
      <c r="AF131">
        <v>0.5</v>
      </c>
      <c r="AG131" t="str">
        <f>"619"</f>
        <v>619</v>
      </c>
      <c r="AH131" t="str">
        <f>"多摩川精機販売（株）"</f>
        <v>多摩川精機販売（株）</v>
      </c>
      <c r="AI131" t="str">
        <f>"002"</f>
        <v>002</v>
      </c>
      <c r="AJ131" t="str">
        <f>""</f>
        <v/>
      </c>
      <c r="AK131" t="str">
        <f>""</f>
        <v/>
      </c>
      <c r="AL131" t="str">
        <f>"1105"</f>
        <v>1105</v>
      </c>
      <c r="AM131" t="s">
        <v>62</v>
      </c>
      <c r="AN131" t="str">
        <f>"056"</f>
        <v>056</v>
      </c>
      <c r="AO131" t="str">
        <f>"TP-331-5 ﾊﾝﾖｳ"</f>
        <v>TP-331-5 ﾊﾝﾖｳ</v>
      </c>
      <c r="AP131">
        <v>270</v>
      </c>
      <c r="AQ131" t="str">
        <f>""</f>
        <v/>
      </c>
      <c r="AR131" t="str">
        <f>""</f>
        <v/>
      </c>
      <c r="AS131" t="str">
        <f>""</f>
        <v/>
      </c>
      <c r="AT131" t="str">
        <f t="shared" si="172"/>
        <v>00</v>
      </c>
      <c r="AU131">
        <v>0.5</v>
      </c>
      <c r="AV131" t="str">
        <f>""</f>
        <v/>
      </c>
      <c r="AW131" t="str">
        <f>""</f>
        <v/>
      </c>
      <c r="AX131" t="str">
        <f>""</f>
        <v/>
      </c>
      <c r="AY131" t="str">
        <f>""</f>
        <v/>
      </c>
      <c r="AZ131" t="str">
        <f>""</f>
        <v/>
      </c>
      <c r="BA131" t="str">
        <f>""</f>
        <v/>
      </c>
      <c r="BB131" t="str">
        <f>"ＴＰ３３１．５フタナシ"</f>
        <v>ＴＰ３３１．５フタナシ</v>
      </c>
      <c r="BC131" t="str">
        <f>" 335.000"</f>
        <v xml:space="preserve"> 335.000</v>
      </c>
      <c r="BD131" t="str">
        <f t="shared" si="159"/>
        <v xml:space="preserve"> 335.000</v>
      </c>
      <c r="BE131" t="str">
        <f>" 149.000"</f>
        <v xml:space="preserve"> 149.000</v>
      </c>
      <c r="BF131" t="str">
        <f>"   0.017"</f>
        <v xml:space="preserve">   0.017</v>
      </c>
      <c r="BG131" t="str">
        <f>"   7.540"</f>
        <v xml:space="preserve">   7.540</v>
      </c>
      <c r="BH131" t="str">
        <f t="shared" si="173"/>
        <v>しない</v>
      </c>
      <c r="BI131" t="str">
        <f>""</f>
        <v/>
      </c>
      <c r="BJ131" t="str">
        <f t="shared" si="174"/>
        <v>MASTER01</v>
      </c>
      <c r="BK131" t="str">
        <f>"2023/01/17"</f>
        <v>2023/01/17</v>
      </c>
      <c r="BL131" t="str">
        <f t="shared" si="175"/>
        <v>NE00</v>
      </c>
      <c r="BM131" t="str">
        <f t="shared" si="176"/>
        <v>１工工務Ｇ</v>
      </c>
      <c r="BN131" t="str">
        <f t="shared" si="148"/>
        <v>46548</v>
      </c>
      <c r="BO131" t="str">
        <f t="shared" si="149"/>
        <v>長畑　玲奈</v>
      </c>
    </row>
    <row r="132" spans="1:67">
      <c r="A132" t="s">
        <v>220</v>
      </c>
      <c r="B132" t="str">
        <f>""</f>
        <v/>
      </c>
      <c r="C132" t="str">
        <f>""</f>
        <v/>
      </c>
      <c r="D132" t="s">
        <v>63</v>
      </c>
      <c r="E132" t="str">
        <f t="shared" si="162"/>
        <v>1Y</v>
      </c>
      <c r="F132" t="str">
        <f t="shared" si="163"/>
        <v>第１工場</v>
      </c>
      <c r="G132" t="str">
        <f t="shared" si="164"/>
        <v>手配</v>
      </c>
      <c r="H132" t="str">
        <f t="shared" si="165"/>
        <v>Ｐ</v>
      </c>
      <c r="I132" t="str">
        <f>"3102"</f>
        <v>3102</v>
      </c>
      <c r="J132" t="str">
        <f>"多摩川精機販売（株）"</f>
        <v>多摩川精機販売（株）</v>
      </c>
      <c r="K132" t="str">
        <f t="shared" si="161"/>
        <v>01</v>
      </c>
      <c r="L132" t="str">
        <f>""</f>
        <v/>
      </c>
      <c r="M132" t="str">
        <f t="shared" si="154"/>
        <v>――</v>
      </c>
      <c r="N132" t="str">
        <f t="shared" si="154"/>
        <v>――</v>
      </c>
      <c r="O132" t="str">
        <f t="shared" si="166"/>
        <v>Ｍ</v>
      </c>
      <c r="P132" t="str">
        <f t="shared" si="167"/>
        <v>01</v>
      </c>
      <c r="Q132" t="str">
        <f t="shared" si="168"/>
        <v>第１</v>
      </c>
      <c r="R132" t="str">
        <f t="shared" si="169"/>
        <v>1Y</v>
      </c>
      <c r="S132" t="str">
        <f t="shared" si="170"/>
        <v>安城第１工場</v>
      </c>
      <c r="T132" t="str">
        <f t="shared" si="171"/>
        <v>直接</v>
      </c>
      <c r="U132" t="str">
        <f>""</f>
        <v/>
      </c>
      <c r="V132" t="str">
        <f>""</f>
        <v/>
      </c>
      <c r="W132" t="str">
        <f>""</f>
        <v/>
      </c>
      <c r="X132">
        <v>1</v>
      </c>
      <c r="Y132">
        <v>1</v>
      </c>
      <c r="Z132">
        <v>3.05</v>
      </c>
      <c r="AA132">
        <v>1.1599999999999999</v>
      </c>
      <c r="AB132">
        <v>3</v>
      </c>
      <c r="AC132">
        <v>1.1599999999999999</v>
      </c>
      <c r="AD132">
        <v>1.1599999999999999</v>
      </c>
      <c r="AE132">
        <v>1.1000000000000001</v>
      </c>
      <c r="AF132">
        <v>0.5</v>
      </c>
      <c r="AG132" t="str">
        <f>"619"</f>
        <v>619</v>
      </c>
      <c r="AH132" t="str">
        <f>"多摩川精機販売（株）"</f>
        <v>多摩川精機販売（株）</v>
      </c>
      <c r="AI132" t="str">
        <f>"001"</f>
        <v>001</v>
      </c>
      <c r="AJ132" t="str">
        <f>"S-MG-20"</f>
        <v>S-MG-20</v>
      </c>
      <c r="AK132" t="str">
        <f>"30468"</f>
        <v>30468</v>
      </c>
      <c r="AL132" t="str">
        <f>"3306"</f>
        <v>3306</v>
      </c>
      <c r="AM132" t="s">
        <v>64</v>
      </c>
      <c r="AN132" t="str">
        <f>"056"</f>
        <v>056</v>
      </c>
      <c r="AO132" t="str">
        <f>"TP-331-5 ﾊﾝﾖｳ"</f>
        <v>TP-331-5 ﾊﾝﾖｳ</v>
      </c>
      <c r="AP132">
        <v>18</v>
      </c>
      <c r="AQ132" t="str">
        <f>""</f>
        <v/>
      </c>
      <c r="AR132" t="str">
        <f>""</f>
        <v/>
      </c>
      <c r="AS132" t="str">
        <f>""</f>
        <v/>
      </c>
      <c r="AT132" t="str">
        <f t="shared" si="172"/>
        <v>00</v>
      </c>
      <c r="AU132">
        <v>0.5</v>
      </c>
      <c r="AV132" t="str">
        <f>""</f>
        <v/>
      </c>
      <c r="AW132" t="str">
        <f>"08"</f>
        <v>08</v>
      </c>
      <c r="AX132" t="str">
        <f>"専用"</f>
        <v>専用</v>
      </c>
      <c r="AY132" t="str">
        <f>"01"</f>
        <v>01</v>
      </c>
      <c r="AZ132" t="str">
        <f>"後補充"</f>
        <v>後補充</v>
      </c>
      <c r="BA132" t="str">
        <f>""</f>
        <v/>
      </c>
      <c r="BB132" t="str">
        <f>"ＴＰ３３１．５フタナシ"</f>
        <v>ＴＰ３３１．５フタナシ</v>
      </c>
      <c r="BC132" t="str">
        <f>" 335.000"</f>
        <v xml:space="preserve"> 335.000</v>
      </c>
      <c r="BD132" t="str">
        <f t="shared" si="159"/>
        <v xml:space="preserve"> 335.000</v>
      </c>
      <c r="BE132" t="str">
        <f>" 149.000"</f>
        <v xml:space="preserve"> 149.000</v>
      </c>
      <c r="BF132" t="str">
        <f>"   0.017"</f>
        <v xml:space="preserve">   0.017</v>
      </c>
      <c r="BG132" t="str">
        <f>"   4.110"</f>
        <v xml:space="preserve">   4.110</v>
      </c>
      <c r="BH132" t="str">
        <f t="shared" si="173"/>
        <v>しない</v>
      </c>
      <c r="BI132" t="str">
        <f>""</f>
        <v/>
      </c>
      <c r="BJ132" t="str">
        <f t="shared" si="174"/>
        <v>MASTER01</v>
      </c>
      <c r="BK132" t="str">
        <f>"2022/04/19"</f>
        <v>2022/04/19</v>
      </c>
      <c r="BL132" t="str">
        <f t="shared" si="175"/>
        <v>NE00</v>
      </c>
      <c r="BM132" t="str">
        <f t="shared" si="176"/>
        <v>１工工務Ｇ</v>
      </c>
      <c r="BN132" t="str">
        <f t="shared" si="148"/>
        <v>46548</v>
      </c>
      <c r="BO132" t="str">
        <f t="shared" si="149"/>
        <v>長畑　玲奈</v>
      </c>
    </row>
    <row r="133" spans="1:67">
      <c r="A133" t="s">
        <v>221</v>
      </c>
      <c r="B133" t="str">
        <f>""</f>
        <v/>
      </c>
      <c r="C133" t="str">
        <f>""</f>
        <v/>
      </c>
      <c r="D133" t="s">
        <v>63</v>
      </c>
      <c r="E133" t="str">
        <f t="shared" si="162"/>
        <v>1Y</v>
      </c>
      <c r="F133" t="str">
        <f t="shared" si="163"/>
        <v>第１工場</v>
      </c>
      <c r="G133" t="str">
        <f t="shared" si="164"/>
        <v>手配</v>
      </c>
      <c r="H133" t="str">
        <f t="shared" si="165"/>
        <v>Ｐ</v>
      </c>
      <c r="I133" t="str">
        <f>"3102"</f>
        <v>3102</v>
      </c>
      <c r="J133" t="str">
        <f>"多摩川精機販売（株）"</f>
        <v>多摩川精機販売（株）</v>
      </c>
      <c r="K133" t="str">
        <f t="shared" si="161"/>
        <v>01</v>
      </c>
      <c r="L133" t="str">
        <f>""</f>
        <v/>
      </c>
      <c r="M133" t="str">
        <f t="shared" si="154"/>
        <v>――</v>
      </c>
      <c r="N133" t="str">
        <f t="shared" si="154"/>
        <v>――</v>
      </c>
      <c r="O133" t="str">
        <f t="shared" si="166"/>
        <v>Ｍ</v>
      </c>
      <c r="P133" t="str">
        <f t="shared" si="167"/>
        <v>01</v>
      </c>
      <c r="Q133" t="str">
        <f t="shared" si="168"/>
        <v>第１</v>
      </c>
      <c r="R133" t="str">
        <f t="shared" si="169"/>
        <v>1Y</v>
      </c>
      <c r="S133" t="str">
        <f t="shared" si="170"/>
        <v>安城第１工場</v>
      </c>
      <c r="T133" t="str">
        <f t="shared" si="171"/>
        <v>直接</v>
      </c>
      <c r="U133" t="str">
        <f>""</f>
        <v/>
      </c>
      <c r="V133" t="str">
        <f>""</f>
        <v/>
      </c>
      <c r="W133" t="str">
        <f>""</f>
        <v/>
      </c>
      <c r="X133">
        <v>1</v>
      </c>
      <c r="Y133">
        <v>1</v>
      </c>
      <c r="Z133">
        <v>3.05</v>
      </c>
      <c r="AA133">
        <v>1.1599999999999999</v>
      </c>
      <c r="AB133">
        <v>3</v>
      </c>
      <c r="AC133">
        <v>1.1599999999999999</v>
      </c>
      <c r="AD133">
        <v>1.1599999999999999</v>
      </c>
      <c r="AE133">
        <v>1.1000000000000001</v>
      </c>
      <c r="AF133">
        <v>0.5</v>
      </c>
      <c r="AG133" t="str">
        <f>"619"</f>
        <v>619</v>
      </c>
      <c r="AH133" t="str">
        <f>"多摩川精機販売（株）"</f>
        <v>多摩川精機販売（株）</v>
      </c>
      <c r="AI133" t="str">
        <f>"003"</f>
        <v>003</v>
      </c>
      <c r="AJ133" t="str">
        <f>""</f>
        <v/>
      </c>
      <c r="AK133" t="str">
        <f>""</f>
        <v/>
      </c>
      <c r="AL133" t="str">
        <f>"3306"</f>
        <v>3306</v>
      </c>
      <c r="AM133" t="s">
        <v>65</v>
      </c>
      <c r="AN133" t="str">
        <f>"056"</f>
        <v>056</v>
      </c>
      <c r="AO133" t="str">
        <f>"TP-331-5 ﾊﾝﾖｳ"</f>
        <v>TP-331-5 ﾊﾝﾖｳ</v>
      </c>
      <c r="AP133">
        <v>18</v>
      </c>
      <c r="AQ133" t="str">
        <f>""</f>
        <v/>
      </c>
      <c r="AR133" t="str">
        <f>""</f>
        <v/>
      </c>
      <c r="AS133" t="str">
        <f>""</f>
        <v/>
      </c>
      <c r="AT133" t="str">
        <f t="shared" si="172"/>
        <v>00</v>
      </c>
      <c r="AU133">
        <v>0.5</v>
      </c>
      <c r="AV133" t="str">
        <f>""</f>
        <v/>
      </c>
      <c r="AW133" t="str">
        <f>""</f>
        <v/>
      </c>
      <c r="AX133" t="str">
        <f>""</f>
        <v/>
      </c>
      <c r="AY133" t="str">
        <f>""</f>
        <v/>
      </c>
      <c r="AZ133" t="str">
        <f>""</f>
        <v/>
      </c>
      <c r="BA133" t="str">
        <f>""</f>
        <v/>
      </c>
      <c r="BB133" t="str">
        <f>"ＴＰ３３１．５フタナシ"</f>
        <v>ＴＰ３３１．５フタナシ</v>
      </c>
      <c r="BC133" t="str">
        <f>" 335.000"</f>
        <v xml:space="preserve"> 335.000</v>
      </c>
      <c r="BD133" t="str">
        <f t="shared" si="159"/>
        <v xml:space="preserve"> 335.000</v>
      </c>
      <c r="BE133" t="str">
        <f>" 149.000"</f>
        <v xml:space="preserve"> 149.000</v>
      </c>
      <c r="BF133" t="str">
        <f>"   0.017"</f>
        <v xml:space="preserve">   0.017</v>
      </c>
      <c r="BG133" t="str">
        <f>"   4.110"</f>
        <v xml:space="preserve">   4.110</v>
      </c>
      <c r="BH133" t="str">
        <f t="shared" si="173"/>
        <v>しない</v>
      </c>
      <c r="BI133" t="str">
        <f>""</f>
        <v/>
      </c>
      <c r="BJ133" t="str">
        <f t="shared" si="174"/>
        <v>MASTER01</v>
      </c>
      <c r="BK133" t="str">
        <f>"2023/01/17"</f>
        <v>2023/01/17</v>
      </c>
      <c r="BL133" t="str">
        <f t="shared" si="175"/>
        <v>NE00</v>
      </c>
      <c r="BM133" t="str">
        <f t="shared" si="176"/>
        <v>１工工務Ｇ</v>
      </c>
      <c r="BN133" t="str">
        <f t="shared" si="148"/>
        <v>46548</v>
      </c>
      <c r="BO133" t="str">
        <f t="shared" si="149"/>
        <v>長畑　玲奈</v>
      </c>
    </row>
    <row r="134" spans="1:67">
      <c r="A134" t="s">
        <v>222</v>
      </c>
      <c r="B134" t="str">
        <f>""</f>
        <v/>
      </c>
      <c r="C134" t="str">
        <f>""</f>
        <v/>
      </c>
      <c r="D134" t="s">
        <v>23</v>
      </c>
      <c r="E134" t="str">
        <f t="shared" si="162"/>
        <v>1Y</v>
      </c>
      <c r="F134" t="str">
        <f t="shared" si="163"/>
        <v>第１工場</v>
      </c>
      <c r="G134" t="str">
        <f t="shared" si="164"/>
        <v>手配</v>
      </c>
      <c r="H134" t="str">
        <f t="shared" si="165"/>
        <v>Ｐ</v>
      </c>
      <c r="I134" t="str">
        <f>"3227"</f>
        <v>3227</v>
      </c>
      <c r="J134" t="str">
        <f>"（株）チューゲン"</f>
        <v>（株）チューゲン</v>
      </c>
      <c r="K134" t="str">
        <f t="shared" si="161"/>
        <v>01</v>
      </c>
      <c r="L134" t="str">
        <f>"本社工場"</f>
        <v>本社工場</v>
      </c>
      <c r="M134" t="str">
        <f t="shared" si="154"/>
        <v>――</v>
      </c>
      <c r="N134" t="str">
        <f t="shared" si="154"/>
        <v>――</v>
      </c>
      <c r="O134" t="str">
        <f t="shared" si="166"/>
        <v>Ｍ</v>
      </c>
      <c r="P134" t="str">
        <f t="shared" si="167"/>
        <v>01</v>
      </c>
      <c r="Q134" t="str">
        <f t="shared" si="168"/>
        <v>第１</v>
      </c>
      <c r="R134" t="str">
        <f t="shared" si="169"/>
        <v>1Y</v>
      </c>
      <c r="S134" t="str">
        <f t="shared" si="170"/>
        <v>安城第１工場</v>
      </c>
      <c r="T134" t="str">
        <f t="shared" si="171"/>
        <v>直接</v>
      </c>
      <c r="U134" t="str">
        <f>""</f>
        <v/>
      </c>
      <c r="V134" t="str">
        <f>""</f>
        <v/>
      </c>
      <c r="W134" t="str">
        <f>""</f>
        <v/>
      </c>
      <c r="X134">
        <v>1</v>
      </c>
      <c r="Y134">
        <v>1</v>
      </c>
      <c r="Z134">
        <v>2.19</v>
      </c>
      <c r="AA134">
        <v>0.75</v>
      </c>
      <c r="AB134">
        <v>3</v>
      </c>
      <c r="AC134">
        <v>0.75</v>
      </c>
      <c r="AD134">
        <v>0.75</v>
      </c>
      <c r="AE134">
        <v>1.1000000000000001</v>
      </c>
      <c r="AF134">
        <v>0.5</v>
      </c>
      <c r="AG134" t="str">
        <f>"305"</f>
        <v>305</v>
      </c>
      <c r="AH134" t="str">
        <f>"（株）チューゲン"</f>
        <v>（株）チューゲン</v>
      </c>
      <c r="AI134" t="str">
        <f>"001"</f>
        <v>001</v>
      </c>
      <c r="AJ134" t="str">
        <f>"FUYOU"</f>
        <v>FUYOU</v>
      </c>
      <c r="AK134" t="str">
        <f>"30496"</f>
        <v>30496</v>
      </c>
      <c r="AL134" t="str">
        <f>"9998"</f>
        <v>9998</v>
      </c>
      <c r="AM134" t="str">
        <f>"ｷｬｯﾌﾟｼｯﾋﾟﾝｸﾞ"</f>
        <v>ｷｬｯﾌﾟｼｯﾋﾟﾝｸﾞ</v>
      </c>
      <c r="AN134" t="str">
        <f>"016"</f>
        <v>016</v>
      </c>
      <c r="AO134" t="str">
        <f>"TP-332 ﾊﾝﾖｳ"</f>
        <v>TP-332 ﾊﾝﾖｳ</v>
      </c>
      <c r="AP134">
        <v>400</v>
      </c>
      <c r="AQ134" t="str">
        <f>""</f>
        <v/>
      </c>
      <c r="AR134" t="str">
        <f>""</f>
        <v/>
      </c>
      <c r="AS134" t="str">
        <f>""</f>
        <v/>
      </c>
      <c r="AT134" t="str">
        <f t="shared" si="172"/>
        <v>00</v>
      </c>
      <c r="AU134">
        <v>0.5</v>
      </c>
      <c r="AV134" t="str">
        <f>""</f>
        <v/>
      </c>
      <c r="AW134" t="str">
        <f>"08"</f>
        <v>08</v>
      </c>
      <c r="AX134" t="str">
        <f>"専用"</f>
        <v>専用</v>
      </c>
      <c r="AY134" t="str">
        <f>"01"</f>
        <v>01</v>
      </c>
      <c r="AZ134" t="str">
        <f>"後補充"</f>
        <v>後補充</v>
      </c>
      <c r="BA134" t="str">
        <f>""</f>
        <v/>
      </c>
      <c r="BB134" t="str">
        <f>"ＴＰ３３２フタナシ"</f>
        <v>ＴＰ３３２フタナシ</v>
      </c>
      <c r="BC134" t="str">
        <f>" 335.000"</f>
        <v xml:space="preserve"> 335.000</v>
      </c>
      <c r="BD134" t="str">
        <f t="shared" si="159"/>
        <v xml:space="preserve"> 335.000</v>
      </c>
      <c r="BE134" t="str">
        <f>" 195.000"</f>
        <v xml:space="preserve"> 195.000</v>
      </c>
      <c r="BF134" t="str">
        <f>"   0.022"</f>
        <v xml:space="preserve">   0.022</v>
      </c>
      <c r="BG134" t="str">
        <f>"   2.050"</f>
        <v xml:space="preserve">   2.050</v>
      </c>
      <c r="BH134" t="str">
        <f t="shared" si="173"/>
        <v>しない</v>
      </c>
      <c r="BI134" t="str">
        <f>""</f>
        <v/>
      </c>
      <c r="BJ134" t="str">
        <f t="shared" si="174"/>
        <v>MASTER01</v>
      </c>
      <c r="BK134" t="str">
        <f>"2022/04/19"</f>
        <v>2022/04/19</v>
      </c>
      <c r="BL134" t="str">
        <f t="shared" si="175"/>
        <v>NE00</v>
      </c>
      <c r="BM134" t="str">
        <f t="shared" si="176"/>
        <v>１工工務Ｇ</v>
      </c>
      <c r="BN134" t="str">
        <f t="shared" si="148"/>
        <v>46548</v>
      </c>
      <c r="BO134" t="str">
        <f t="shared" si="149"/>
        <v>長畑　玲奈</v>
      </c>
    </row>
    <row r="135" spans="1:67">
      <c r="A135" t="s">
        <v>223</v>
      </c>
      <c r="B135" t="str">
        <f>""</f>
        <v/>
      </c>
      <c r="C135" t="str">
        <f>""</f>
        <v/>
      </c>
      <c r="D135" t="s">
        <v>47</v>
      </c>
      <c r="E135" t="str">
        <f t="shared" si="162"/>
        <v>1Y</v>
      </c>
      <c r="F135" t="str">
        <f t="shared" si="163"/>
        <v>第１工場</v>
      </c>
      <c r="G135" t="str">
        <f t="shared" si="164"/>
        <v>手配</v>
      </c>
      <c r="H135" t="str">
        <f t="shared" si="165"/>
        <v>Ｐ</v>
      </c>
      <c r="I135" t="str">
        <f>"3236"</f>
        <v>3236</v>
      </c>
      <c r="J135" t="str">
        <f>"中庸スプリング（株）"</f>
        <v>中庸スプリング（株）</v>
      </c>
      <c r="K135" t="str">
        <f t="shared" si="161"/>
        <v>01</v>
      </c>
      <c r="L135" t="str">
        <f>""</f>
        <v/>
      </c>
      <c r="M135" t="str">
        <f t="shared" si="154"/>
        <v>――</v>
      </c>
      <c r="N135" t="str">
        <f t="shared" si="154"/>
        <v>――</v>
      </c>
      <c r="O135" t="str">
        <f t="shared" si="166"/>
        <v>Ｍ</v>
      </c>
      <c r="P135" t="str">
        <f t="shared" si="167"/>
        <v>01</v>
      </c>
      <c r="Q135" t="str">
        <f t="shared" si="168"/>
        <v>第１</v>
      </c>
      <c r="R135" t="str">
        <f t="shared" si="169"/>
        <v>1Y</v>
      </c>
      <c r="S135" t="str">
        <f t="shared" si="170"/>
        <v>安城第１工場</v>
      </c>
      <c r="T135" t="str">
        <f t="shared" si="171"/>
        <v>直接</v>
      </c>
      <c r="U135" t="str">
        <f>""</f>
        <v/>
      </c>
      <c r="V135" t="str">
        <f>""</f>
        <v/>
      </c>
      <c r="W135" t="str">
        <f>""</f>
        <v/>
      </c>
      <c r="X135">
        <v>1</v>
      </c>
      <c r="Y135">
        <v>2</v>
      </c>
      <c r="Z135">
        <v>2.34</v>
      </c>
      <c r="AA135">
        <v>1.02</v>
      </c>
      <c r="AB135">
        <v>3</v>
      </c>
      <c r="AC135">
        <v>1.02</v>
      </c>
      <c r="AD135">
        <v>1.02</v>
      </c>
      <c r="AE135">
        <v>1.1000000000000001</v>
      </c>
      <c r="AF135">
        <v>0.5</v>
      </c>
      <c r="AG135" t="str">
        <f>"038"</f>
        <v>038</v>
      </c>
      <c r="AH135" t="str">
        <f>"中庸スプリング（株）"</f>
        <v>中庸スプリング（株）</v>
      </c>
      <c r="AI135" t="str">
        <f>"001"</f>
        <v>001</v>
      </c>
      <c r="AJ135" t="str">
        <f>"S-TA-2-11"</f>
        <v>S-TA-2-11</v>
      </c>
      <c r="AK135" t="str">
        <f>"10479"</f>
        <v>10479</v>
      </c>
      <c r="AL135" t="str">
        <f>"0567"</f>
        <v>0567</v>
      </c>
      <c r="AM135" t="str">
        <f>"ｸﾗﾝﾌﾟT/AｱﾌﾟﾗｲﾁｭｰﾌﾞNO.1"</f>
        <v>ｸﾗﾝﾌﾟT/AｱﾌﾟﾗｲﾁｭｰﾌﾞNO.1</v>
      </c>
      <c r="AN135" t="str">
        <f>"051"</f>
        <v>051</v>
      </c>
      <c r="AO135" t="str">
        <f>"AW-131 ｾﾝﾖｳ"</f>
        <v>AW-131 ｾﾝﾖｳ</v>
      </c>
      <c r="AP135">
        <v>600</v>
      </c>
      <c r="AQ135" t="str">
        <f>""</f>
        <v/>
      </c>
      <c r="AR135" t="str">
        <f>""</f>
        <v/>
      </c>
      <c r="AS135" t="str">
        <f>""</f>
        <v/>
      </c>
      <c r="AT135" t="str">
        <f t="shared" si="172"/>
        <v>00</v>
      </c>
      <c r="AU135">
        <v>0.5</v>
      </c>
      <c r="AV135" t="str">
        <f>""</f>
        <v/>
      </c>
      <c r="AW135" t="str">
        <f>"08"</f>
        <v>08</v>
      </c>
      <c r="AX135" t="str">
        <f>"専用"</f>
        <v>専用</v>
      </c>
      <c r="AY135" t="str">
        <f>"01"</f>
        <v>01</v>
      </c>
      <c r="AZ135" t="str">
        <f>"後補充"</f>
        <v>後補充</v>
      </c>
      <c r="BA135" t="str">
        <f>""</f>
        <v/>
      </c>
      <c r="BB135" t="str">
        <f>"ＡＷ１３１フタナシ"</f>
        <v>ＡＷ１３１フタナシ</v>
      </c>
      <c r="BC135" t="str">
        <f>" 165.000"</f>
        <v xml:space="preserve"> 165.000</v>
      </c>
      <c r="BD135" t="str">
        <f t="shared" si="159"/>
        <v xml:space="preserve"> 335.000</v>
      </c>
      <c r="BE135" t="str">
        <f>" 105.000"</f>
        <v xml:space="preserve"> 105.000</v>
      </c>
      <c r="BF135" t="str">
        <f>"   0.006"</f>
        <v xml:space="preserve">   0.006</v>
      </c>
      <c r="BG135" t="str">
        <f>"   3.700"</f>
        <v xml:space="preserve">   3.700</v>
      </c>
      <c r="BH135" t="str">
        <f t="shared" si="173"/>
        <v>しない</v>
      </c>
      <c r="BI135" t="str">
        <f>""</f>
        <v/>
      </c>
      <c r="BJ135" t="str">
        <f t="shared" si="174"/>
        <v>MASTER01</v>
      </c>
      <c r="BK135" t="str">
        <f>"2022/04/19"</f>
        <v>2022/04/19</v>
      </c>
      <c r="BL135" t="str">
        <f t="shared" si="175"/>
        <v>NE00</v>
      </c>
      <c r="BM135" t="str">
        <f t="shared" si="176"/>
        <v>１工工務Ｇ</v>
      </c>
      <c r="BN135" t="str">
        <f t="shared" si="148"/>
        <v>46548</v>
      </c>
      <c r="BO135" t="str">
        <f t="shared" si="149"/>
        <v>長畑　玲奈</v>
      </c>
    </row>
    <row r="136" spans="1:67">
      <c r="A136" t="s">
        <v>224</v>
      </c>
      <c r="B136" t="str">
        <f>""</f>
        <v/>
      </c>
      <c r="C136" t="str">
        <f>""</f>
        <v/>
      </c>
      <c r="D136" t="s">
        <v>66</v>
      </c>
      <c r="E136" t="str">
        <f t="shared" si="162"/>
        <v>1Y</v>
      </c>
      <c r="F136" t="str">
        <f t="shared" si="163"/>
        <v>第１工場</v>
      </c>
      <c r="G136" t="str">
        <f t="shared" si="164"/>
        <v>手配</v>
      </c>
      <c r="H136" t="str">
        <f t="shared" si="165"/>
        <v>Ｐ</v>
      </c>
      <c r="I136" t="str">
        <f>"3236"</f>
        <v>3236</v>
      </c>
      <c r="J136" t="str">
        <f>"中庸スプリング（株）"</f>
        <v>中庸スプリング（株）</v>
      </c>
      <c r="K136" t="str">
        <f t="shared" si="161"/>
        <v>01</v>
      </c>
      <c r="L136" t="str">
        <f>""</f>
        <v/>
      </c>
      <c r="M136" t="str">
        <f t="shared" si="154"/>
        <v>――</v>
      </c>
      <c r="N136" t="str">
        <f t="shared" si="154"/>
        <v>――</v>
      </c>
      <c r="O136" t="str">
        <f t="shared" si="166"/>
        <v>Ｍ</v>
      </c>
      <c r="P136" t="str">
        <f t="shared" si="167"/>
        <v>01</v>
      </c>
      <c r="Q136" t="str">
        <f t="shared" si="168"/>
        <v>第１</v>
      </c>
      <c r="R136" t="str">
        <f t="shared" si="169"/>
        <v>1Y</v>
      </c>
      <c r="S136" t="str">
        <f t="shared" si="170"/>
        <v>安城第１工場</v>
      </c>
      <c r="T136" t="str">
        <f t="shared" si="171"/>
        <v>直接</v>
      </c>
      <c r="U136" t="str">
        <f>""</f>
        <v/>
      </c>
      <c r="V136" t="str">
        <f>""</f>
        <v/>
      </c>
      <c r="W136" t="str">
        <f>""</f>
        <v/>
      </c>
      <c r="X136">
        <v>1</v>
      </c>
      <c r="Y136">
        <v>2</v>
      </c>
      <c r="Z136">
        <v>2.34</v>
      </c>
      <c r="AA136">
        <v>1.02</v>
      </c>
      <c r="AB136">
        <v>3</v>
      </c>
      <c r="AC136">
        <v>1.02</v>
      </c>
      <c r="AD136">
        <v>1.02</v>
      </c>
      <c r="AE136">
        <v>1.1000000000000001</v>
      </c>
      <c r="AF136">
        <v>0.5</v>
      </c>
      <c r="AG136" t="str">
        <f>"038"</f>
        <v>038</v>
      </c>
      <c r="AH136" t="str">
        <f>"中庸スプリング（株）"</f>
        <v>中庸スプリング（株）</v>
      </c>
      <c r="AI136" t="str">
        <f>"005"</f>
        <v>005</v>
      </c>
      <c r="AJ136" t="str">
        <f>""</f>
        <v/>
      </c>
      <c r="AK136" t="str">
        <f>""</f>
        <v/>
      </c>
      <c r="AL136" t="str">
        <f>"9143"</f>
        <v>9143</v>
      </c>
      <c r="AM136" t="str">
        <f>"ﾚﾊﾞｰ S/A ﾊﾟｰｷﾝｸﾞ ﾛｯｸ"</f>
        <v>ﾚﾊﾞｰ S/A ﾊﾟｰｷﾝｸﾞ ﾛｯｸ</v>
      </c>
      <c r="AN136" t="str">
        <f>"014"</f>
        <v>014</v>
      </c>
      <c r="AO136" t="str">
        <f>"TP-331 ﾊﾝﾖｳ"</f>
        <v>TP-331 ﾊﾝﾖｳ</v>
      </c>
      <c r="AP136">
        <v>60</v>
      </c>
      <c r="AQ136" t="str">
        <f>""</f>
        <v/>
      </c>
      <c r="AR136" t="str">
        <f>""</f>
        <v/>
      </c>
      <c r="AS136" t="str">
        <f>""</f>
        <v/>
      </c>
      <c r="AT136" t="str">
        <f t="shared" si="172"/>
        <v>00</v>
      </c>
      <c r="AU136">
        <v>0.5</v>
      </c>
      <c r="AV136" t="str">
        <f>""</f>
        <v/>
      </c>
      <c r="AW136" t="str">
        <f>""</f>
        <v/>
      </c>
      <c r="AX136" t="str">
        <f>""</f>
        <v/>
      </c>
      <c r="AY136" t="str">
        <f>""</f>
        <v/>
      </c>
      <c r="AZ136" t="str">
        <f>""</f>
        <v/>
      </c>
      <c r="BA136" t="str">
        <f>""</f>
        <v/>
      </c>
      <c r="BB136" t="str">
        <f>"ＴＰ１３１フタナシ"</f>
        <v>ＴＰ１３１フタナシ</v>
      </c>
      <c r="BC136" t="str">
        <f>" 335.000"</f>
        <v xml:space="preserve"> 335.000</v>
      </c>
      <c r="BD136" t="str">
        <f t="shared" si="159"/>
        <v xml:space="preserve"> 335.000</v>
      </c>
      <c r="BE136" t="str">
        <f>" 115.000"</f>
        <v xml:space="preserve"> 115.000</v>
      </c>
      <c r="BF136" t="str">
        <f>"   0.013"</f>
        <v xml:space="preserve">   0.013</v>
      </c>
      <c r="BG136" t="str">
        <f>"   4.700"</f>
        <v xml:space="preserve">   4.700</v>
      </c>
      <c r="BH136" t="str">
        <f t="shared" si="173"/>
        <v>しない</v>
      </c>
      <c r="BI136" t="str">
        <f>""</f>
        <v/>
      </c>
      <c r="BJ136" t="str">
        <f t="shared" si="174"/>
        <v>MASTER01</v>
      </c>
      <c r="BK136" t="str">
        <f>"2023/01/17"</f>
        <v>2023/01/17</v>
      </c>
      <c r="BL136" t="str">
        <f t="shared" si="175"/>
        <v>NE00</v>
      </c>
      <c r="BM136" t="str">
        <f t="shared" si="176"/>
        <v>１工工務Ｇ</v>
      </c>
      <c r="BN136" t="str">
        <f t="shared" si="148"/>
        <v>46548</v>
      </c>
      <c r="BO136" t="str">
        <f t="shared" si="149"/>
        <v>長畑　玲奈</v>
      </c>
    </row>
    <row r="137" spans="1:67">
      <c r="A137" t="s">
        <v>225</v>
      </c>
      <c r="B137" t="str">
        <f>""</f>
        <v/>
      </c>
      <c r="C137" t="str">
        <f>""</f>
        <v/>
      </c>
      <c r="D137" t="s">
        <v>66</v>
      </c>
      <c r="E137" t="str">
        <f t="shared" si="162"/>
        <v>1Y</v>
      </c>
      <c r="F137" t="str">
        <f t="shared" si="163"/>
        <v>第１工場</v>
      </c>
      <c r="G137" t="str">
        <f t="shared" si="164"/>
        <v>手配</v>
      </c>
      <c r="H137" t="str">
        <f t="shared" si="165"/>
        <v>Ｐ</v>
      </c>
      <c r="I137" t="str">
        <f>"3236"</f>
        <v>3236</v>
      </c>
      <c r="J137" t="str">
        <f>"中庸スプリング（株）"</f>
        <v>中庸スプリング（株）</v>
      </c>
      <c r="K137" t="str">
        <f t="shared" si="161"/>
        <v>01</v>
      </c>
      <c r="L137" t="str">
        <f>""</f>
        <v/>
      </c>
      <c r="M137" t="str">
        <f t="shared" si="154"/>
        <v>――</v>
      </c>
      <c r="N137" t="str">
        <f t="shared" si="154"/>
        <v>――</v>
      </c>
      <c r="O137" t="str">
        <f t="shared" si="166"/>
        <v>Ｍ</v>
      </c>
      <c r="P137" t="str">
        <f t="shared" si="167"/>
        <v>01</v>
      </c>
      <c r="Q137" t="str">
        <f t="shared" si="168"/>
        <v>第１</v>
      </c>
      <c r="R137" t="str">
        <f t="shared" si="169"/>
        <v>1Y</v>
      </c>
      <c r="S137" t="str">
        <f t="shared" si="170"/>
        <v>安城第１工場</v>
      </c>
      <c r="T137" t="str">
        <f t="shared" si="171"/>
        <v>直接</v>
      </c>
      <c r="U137" t="str">
        <f>""</f>
        <v/>
      </c>
      <c r="V137" t="str">
        <f>""</f>
        <v/>
      </c>
      <c r="W137" t="str">
        <f>""</f>
        <v/>
      </c>
      <c r="X137">
        <v>1</v>
      </c>
      <c r="Y137">
        <v>2</v>
      </c>
      <c r="Z137">
        <v>2.34</v>
      </c>
      <c r="AA137">
        <v>1.02</v>
      </c>
      <c r="AB137">
        <v>3</v>
      </c>
      <c r="AC137">
        <v>1.02</v>
      </c>
      <c r="AD137">
        <v>1.02</v>
      </c>
      <c r="AE137">
        <v>1.1000000000000001</v>
      </c>
      <c r="AF137">
        <v>0.5</v>
      </c>
      <c r="AG137" t="str">
        <f>"038"</f>
        <v>038</v>
      </c>
      <c r="AH137" t="str">
        <f>"中庸スプリング（株）"</f>
        <v>中庸スプリング（株）</v>
      </c>
      <c r="AI137" t="str">
        <f>"002"</f>
        <v>002</v>
      </c>
      <c r="AJ137" t="str">
        <f>"R-8-1"</f>
        <v>R-8-1</v>
      </c>
      <c r="AK137" t="str">
        <f>"10478"</f>
        <v>10478</v>
      </c>
      <c r="AL137" t="str">
        <f>"9143"</f>
        <v>9143</v>
      </c>
      <c r="AM137" t="str">
        <f>"ﾚﾊﾞｰS/Aﾊﾟｰｷﾝｸﾞﾛｯｸ"</f>
        <v>ﾚﾊﾞｰS/Aﾊﾟｰｷﾝｸﾞﾛｯｸ</v>
      </c>
      <c r="AN137" t="str">
        <f>"051"</f>
        <v>051</v>
      </c>
      <c r="AO137" t="str">
        <f>"AW-131 ｾﾝﾖｳ"</f>
        <v>AW-131 ｾﾝﾖｳ</v>
      </c>
      <c r="AP137">
        <v>24</v>
      </c>
      <c r="AQ137" t="str">
        <f>""</f>
        <v/>
      </c>
      <c r="AR137" t="str">
        <f>""</f>
        <v/>
      </c>
      <c r="AS137" t="str">
        <f>""</f>
        <v/>
      </c>
      <c r="AT137" t="str">
        <f t="shared" si="172"/>
        <v>00</v>
      </c>
      <c r="AU137">
        <v>0.5</v>
      </c>
      <c r="AV137" t="str">
        <f>""</f>
        <v/>
      </c>
      <c r="AW137" t="str">
        <f>"08"</f>
        <v>08</v>
      </c>
      <c r="AX137" t="str">
        <f>"専用"</f>
        <v>専用</v>
      </c>
      <c r="AY137" t="str">
        <f>"01"</f>
        <v>01</v>
      </c>
      <c r="AZ137" t="str">
        <f>"後補充"</f>
        <v>後補充</v>
      </c>
      <c r="BA137" t="str">
        <f>""</f>
        <v/>
      </c>
      <c r="BB137" t="str">
        <f>"ＴＰ１３１フタナシ"</f>
        <v>ＴＰ１３１フタナシ</v>
      </c>
      <c r="BC137" t="str">
        <f>" 168.000"</f>
        <v xml:space="preserve"> 168.000</v>
      </c>
      <c r="BD137" t="str">
        <f t="shared" si="159"/>
        <v xml:space="preserve"> 335.000</v>
      </c>
      <c r="BE137" t="str">
        <f>" 165.000"</f>
        <v xml:space="preserve"> 165.000</v>
      </c>
      <c r="BF137" t="str">
        <f>"   0.009"</f>
        <v xml:space="preserve">   0.009</v>
      </c>
      <c r="BG137" t="str">
        <f>"   2.450"</f>
        <v xml:space="preserve">   2.450</v>
      </c>
      <c r="BH137" t="str">
        <f t="shared" si="173"/>
        <v>しない</v>
      </c>
      <c r="BI137" t="str">
        <f>""</f>
        <v/>
      </c>
      <c r="BJ137" t="str">
        <f t="shared" si="174"/>
        <v>MASTER01</v>
      </c>
      <c r="BK137" t="str">
        <f>"2022/04/19"</f>
        <v>2022/04/19</v>
      </c>
      <c r="BL137" t="str">
        <f t="shared" si="175"/>
        <v>NE00</v>
      </c>
      <c r="BM137" t="str">
        <f t="shared" si="176"/>
        <v>１工工務Ｇ</v>
      </c>
      <c r="BN137" t="str">
        <f t="shared" si="148"/>
        <v>46548</v>
      </c>
      <c r="BO137" t="str">
        <f t="shared" si="149"/>
        <v>長畑　玲奈</v>
      </c>
    </row>
    <row r="138" spans="1:67">
      <c r="A138" t="s">
        <v>226</v>
      </c>
      <c r="B138" t="str">
        <f>""</f>
        <v/>
      </c>
      <c r="C138" t="str">
        <f>""</f>
        <v/>
      </c>
      <c r="D138" t="s">
        <v>67</v>
      </c>
      <c r="E138" t="str">
        <f t="shared" si="162"/>
        <v>1Y</v>
      </c>
      <c r="F138" t="str">
        <f t="shared" si="163"/>
        <v>第１工場</v>
      </c>
      <c r="G138" t="str">
        <f t="shared" si="164"/>
        <v>手配</v>
      </c>
      <c r="H138" t="str">
        <f t="shared" si="165"/>
        <v>Ｐ</v>
      </c>
      <c r="I138" t="str">
        <f>"3236"</f>
        <v>3236</v>
      </c>
      <c r="J138" t="str">
        <f>"中庸スプリング（株）"</f>
        <v>中庸スプリング（株）</v>
      </c>
      <c r="K138" t="str">
        <f t="shared" si="161"/>
        <v>01</v>
      </c>
      <c r="L138" t="str">
        <f>""</f>
        <v/>
      </c>
      <c r="M138" t="str">
        <f t="shared" si="154"/>
        <v>――</v>
      </c>
      <c r="N138" t="str">
        <f t="shared" si="154"/>
        <v>――</v>
      </c>
      <c r="O138" t="str">
        <f t="shared" si="166"/>
        <v>Ｍ</v>
      </c>
      <c r="P138" t="str">
        <f t="shared" si="167"/>
        <v>01</v>
      </c>
      <c r="Q138" t="str">
        <f t="shared" si="168"/>
        <v>第１</v>
      </c>
      <c r="R138" t="str">
        <f t="shared" si="169"/>
        <v>1Y</v>
      </c>
      <c r="S138" t="str">
        <f t="shared" si="170"/>
        <v>安城第１工場</v>
      </c>
      <c r="T138" t="str">
        <f t="shared" si="171"/>
        <v>直接</v>
      </c>
      <c r="U138" t="str">
        <f>""</f>
        <v/>
      </c>
      <c r="V138" t="str">
        <f>""</f>
        <v/>
      </c>
      <c r="W138" t="str">
        <f>""</f>
        <v/>
      </c>
      <c r="X138">
        <v>1</v>
      </c>
      <c r="Y138">
        <v>2</v>
      </c>
      <c r="Z138">
        <v>2.34</v>
      </c>
      <c r="AA138">
        <v>1.02</v>
      </c>
      <c r="AB138">
        <v>3</v>
      </c>
      <c r="AC138">
        <v>1.02</v>
      </c>
      <c r="AD138">
        <v>1.02</v>
      </c>
      <c r="AE138">
        <v>1.1000000000000001</v>
      </c>
      <c r="AF138">
        <v>0.5</v>
      </c>
      <c r="AG138" t="str">
        <f>"038"</f>
        <v>038</v>
      </c>
      <c r="AH138" t="str">
        <f>"中庸スプリング（株）"</f>
        <v>中庸スプリング（株）</v>
      </c>
      <c r="AI138" t="str">
        <f>"003"</f>
        <v>003</v>
      </c>
      <c r="AJ138" t="str">
        <f>"S-MG-9"</f>
        <v>S-MG-9</v>
      </c>
      <c r="AK138" t="str">
        <f>"10480"</f>
        <v>10480</v>
      </c>
      <c r="AL138" t="str">
        <f>"0568"</f>
        <v>0568</v>
      </c>
      <c r="AM138" t="str">
        <f>"ｸﾗﾝﾌﾟﾜｲﾔﾘﾝｸﾞ"</f>
        <v>ｸﾗﾝﾌﾟﾜｲﾔﾘﾝｸﾞ</v>
      </c>
      <c r="AN138" t="str">
        <f t="shared" ref="AN138:AN146" si="177">"012"</f>
        <v>012</v>
      </c>
      <c r="AO138" t="str">
        <f t="shared" ref="AO138:AO146" si="178">"TP-131 ﾊﾝﾖｳ"</f>
        <v>TP-131 ﾊﾝﾖｳ</v>
      </c>
      <c r="AP138">
        <v>500</v>
      </c>
      <c r="AQ138" t="str">
        <f>""</f>
        <v/>
      </c>
      <c r="AR138" t="str">
        <f>""</f>
        <v/>
      </c>
      <c r="AS138" t="str">
        <f>""</f>
        <v/>
      </c>
      <c r="AT138" t="str">
        <f t="shared" si="172"/>
        <v>00</v>
      </c>
      <c r="AU138">
        <v>0.5</v>
      </c>
      <c r="AV138" t="str">
        <f>""</f>
        <v/>
      </c>
      <c r="AW138" t="str">
        <f>"08"</f>
        <v>08</v>
      </c>
      <c r="AX138" t="str">
        <f>"専用"</f>
        <v>専用</v>
      </c>
      <c r="AY138" t="str">
        <f>"01"</f>
        <v>01</v>
      </c>
      <c r="AZ138" t="str">
        <f>"後補充"</f>
        <v>後補充</v>
      </c>
      <c r="BA138" t="str">
        <f>""</f>
        <v/>
      </c>
      <c r="BB138" t="str">
        <f>"ＡＷ１３１フタナシ"</f>
        <v>ＡＷ１３１フタナシ</v>
      </c>
      <c r="BC138" t="str">
        <f>" 165.000"</f>
        <v xml:space="preserve"> 165.000</v>
      </c>
      <c r="BD138" t="str">
        <f t="shared" si="159"/>
        <v xml:space="preserve"> 335.000</v>
      </c>
      <c r="BE138" t="str">
        <f>" 105.000"</f>
        <v xml:space="preserve"> 105.000</v>
      </c>
      <c r="BF138" t="str">
        <f t="shared" ref="BF138:BF146" si="179">"   0.006"</f>
        <v xml:space="preserve">   0.006</v>
      </c>
      <c r="BG138" t="str">
        <f>"   1.850"</f>
        <v xml:space="preserve">   1.850</v>
      </c>
      <c r="BH138" t="str">
        <f t="shared" si="173"/>
        <v>しない</v>
      </c>
      <c r="BI138" t="str">
        <f>""</f>
        <v/>
      </c>
      <c r="BJ138" t="str">
        <f t="shared" si="174"/>
        <v>MASTER01</v>
      </c>
      <c r="BK138" t="str">
        <f>"2022/04/19"</f>
        <v>2022/04/19</v>
      </c>
      <c r="BL138" t="str">
        <f t="shared" si="175"/>
        <v>NE00</v>
      </c>
      <c r="BM138" t="str">
        <f t="shared" si="176"/>
        <v>１工工務Ｇ</v>
      </c>
      <c r="BN138" t="str">
        <f t="shared" si="148"/>
        <v>46548</v>
      </c>
      <c r="BO138" t="str">
        <f t="shared" si="149"/>
        <v>長畑　玲奈</v>
      </c>
    </row>
    <row r="139" spans="1:67">
      <c r="A139" t="s">
        <v>227</v>
      </c>
      <c r="B139" t="str">
        <f>""</f>
        <v/>
      </c>
      <c r="C139" t="str">
        <f>""</f>
        <v/>
      </c>
      <c r="D139" t="str">
        <f t="shared" ref="D139:D146" si="180">"LABEL"</f>
        <v>LABEL</v>
      </c>
      <c r="E139" t="str">
        <f t="shared" si="162"/>
        <v>1Y</v>
      </c>
      <c r="F139" t="str">
        <f t="shared" si="163"/>
        <v>第１工場</v>
      </c>
      <c r="G139" t="str">
        <f t="shared" si="164"/>
        <v>手配</v>
      </c>
      <c r="H139" t="str">
        <f t="shared" si="165"/>
        <v>Ｐ</v>
      </c>
      <c r="I139" t="str">
        <f t="shared" ref="I139:I146" si="181">"3407"</f>
        <v>3407</v>
      </c>
      <c r="J139" t="str">
        <f t="shared" ref="J139:J146" si="182">"（株）槌屋"</f>
        <v>（株）槌屋</v>
      </c>
      <c r="K139" t="str">
        <f t="shared" si="161"/>
        <v>01</v>
      </c>
      <c r="L139" t="str">
        <f t="shared" ref="L139:L146" si="183">"知立工場"</f>
        <v>知立工場</v>
      </c>
      <c r="M139" t="str">
        <f t="shared" si="154"/>
        <v>――</v>
      </c>
      <c r="N139" t="str">
        <f t="shared" si="154"/>
        <v>――</v>
      </c>
      <c r="O139" t="str">
        <f t="shared" si="166"/>
        <v>Ｍ</v>
      </c>
      <c r="P139" t="str">
        <f t="shared" si="167"/>
        <v>01</v>
      </c>
      <c r="Q139" t="str">
        <f t="shared" si="168"/>
        <v>第１</v>
      </c>
      <c r="R139" t="str">
        <f t="shared" si="169"/>
        <v>1Y</v>
      </c>
      <c r="S139" t="str">
        <f t="shared" si="170"/>
        <v>安城第１工場</v>
      </c>
      <c r="T139" t="str">
        <f t="shared" si="171"/>
        <v>直接</v>
      </c>
      <c r="U139" t="str">
        <f>""</f>
        <v/>
      </c>
      <c r="V139" t="str">
        <f>""</f>
        <v/>
      </c>
      <c r="W139" t="str">
        <f>""</f>
        <v/>
      </c>
      <c r="X139">
        <v>1</v>
      </c>
      <c r="Y139">
        <v>1</v>
      </c>
      <c r="Z139">
        <v>2.33</v>
      </c>
      <c r="AA139">
        <v>1.0900000000000001</v>
      </c>
      <c r="AB139">
        <v>3</v>
      </c>
      <c r="AC139">
        <v>1.0900000000000001</v>
      </c>
      <c r="AD139">
        <v>1.0900000000000001</v>
      </c>
      <c r="AE139">
        <v>1.1000000000000001</v>
      </c>
      <c r="AF139">
        <v>0.5</v>
      </c>
      <c r="AG139" t="str">
        <f t="shared" ref="AG139:AG146" si="184">"135"</f>
        <v>135</v>
      </c>
      <c r="AH139" t="str">
        <f t="shared" ref="AH139:AH146" si="185">"（株）槌屋"</f>
        <v>（株）槌屋</v>
      </c>
      <c r="AI139" t="str">
        <f>"008"</f>
        <v>008</v>
      </c>
      <c r="AJ139" t="str">
        <f>""</f>
        <v/>
      </c>
      <c r="AK139" t="str">
        <f>""</f>
        <v/>
      </c>
      <c r="AL139" t="str">
        <f t="shared" ref="AL139:AL146" si="186">"7390"</f>
        <v>7390</v>
      </c>
      <c r="AM139" t="str">
        <f t="shared" ref="AM139:AM146" si="187">"ﾗﾍﾞﾙ"</f>
        <v>ﾗﾍﾞﾙ</v>
      </c>
      <c r="AN139" t="str">
        <f t="shared" si="177"/>
        <v>012</v>
      </c>
      <c r="AO139" t="str">
        <f t="shared" si="178"/>
        <v>TP-131 ﾊﾝﾖｳ</v>
      </c>
      <c r="AP139">
        <v>500</v>
      </c>
      <c r="AQ139" t="str">
        <f>""</f>
        <v/>
      </c>
      <c r="AR139" t="str">
        <f>""</f>
        <v/>
      </c>
      <c r="AS139" t="str">
        <f>""</f>
        <v/>
      </c>
      <c r="AT139" t="str">
        <f t="shared" si="172"/>
        <v>00</v>
      </c>
      <c r="AU139">
        <v>0.5</v>
      </c>
      <c r="AV139" t="str">
        <f>""</f>
        <v/>
      </c>
      <c r="AW139" t="str">
        <f>""</f>
        <v/>
      </c>
      <c r="AX139" t="str">
        <f>""</f>
        <v/>
      </c>
      <c r="AY139" t="str">
        <f>""</f>
        <v/>
      </c>
      <c r="AZ139" t="str">
        <f>""</f>
        <v/>
      </c>
      <c r="BA139" t="str">
        <f>""</f>
        <v/>
      </c>
      <c r="BB139" t="str">
        <f t="shared" ref="BB139:BB146" si="188">"ＴＰ１３１フタナシ"</f>
        <v>ＴＰ１３１フタナシ</v>
      </c>
      <c r="BC139" t="str">
        <f t="shared" ref="BC139:BD154" si="189">" 335.000"</f>
        <v xml:space="preserve"> 335.000</v>
      </c>
      <c r="BD139" t="str">
        <f t="shared" ref="BD139:BD146" si="190">" 168.000"</f>
        <v xml:space="preserve"> 168.000</v>
      </c>
      <c r="BE139" t="str">
        <f t="shared" ref="BE139:BE150" si="191">" 103.000"</f>
        <v xml:space="preserve"> 103.000</v>
      </c>
      <c r="BF139" t="str">
        <f t="shared" si="179"/>
        <v xml:space="preserve">   0.006</v>
      </c>
      <c r="BG139" t="str">
        <f>"   1.000"</f>
        <v xml:space="preserve">   1.000</v>
      </c>
      <c r="BH139" t="str">
        <f t="shared" si="173"/>
        <v>しない</v>
      </c>
      <c r="BI139" t="str">
        <f>""</f>
        <v/>
      </c>
      <c r="BJ139" t="str">
        <f t="shared" si="174"/>
        <v>MASTER01</v>
      </c>
      <c r="BK139" t="str">
        <f>"2023/01/17"</f>
        <v>2023/01/17</v>
      </c>
      <c r="BL139" t="str">
        <f t="shared" si="175"/>
        <v>NE00</v>
      </c>
      <c r="BM139" t="str">
        <f t="shared" si="176"/>
        <v>１工工務Ｇ</v>
      </c>
      <c r="BN139" t="str">
        <f t="shared" si="148"/>
        <v>46548</v>
      </c>
      <c r="BO139" t="str">
        <f t="shared" si="149"/>
        <v>長畑　玲奈</v>
      </c>
    </row>
    <row r="140" spans="1:67">
      <c r="A140" t="s">
        <v>228</v>
      </c>
      <c r="B140" t="str">
        <f>""</f>
        <v/>
      </c>
      <c r="C140" t="str">
        <f>""</f>
        <v/>
      </c>
      <c r="D140" t="str">
        <f t="shared" si="180"/>
        <v>LABEL</v>
      </c>
      <c r="E140" t="str">
        <f t="shared" si="162"/>
        <v>1Y</v>
      </c>
      <c r="F140" t="str">
        <f t="shared" si="163"/>
        <v>第１工場</v>
      </c>
      <c r="G140" t="str">
        <f t="shared" si="164"/>
        <v>手配</v>
      </c>
      <c r="H140" t="str">
        <f t="shared" si="165"/>
        <v>Ｐ</v>
      </c>
      <c r="I140" t="str">
        <f t="shared" si="181"/>
        <v>3407</v>
      </c>
      <c r="J140" t="str">
        <f t="shared" si="182"/>
        <v>（株）槌屋</v>
      </c>
      <c r="K140" t="str">
        <f t="shared" si="161"/>
        <v>01</v>
      </c>
      <c r="L140" t="str">
        <f t="shared" si="183"/>
        <v>知立工場</v>
      </c>
      <c r="M140" t="str">
        <f t="shared" si="154"/>
        <v>――</v>
      </c>
      <c r="N140" t="str">
        <f t="shared" si="154"/>
        <v>――</v>
      </c>
      <c r="O140" t="str">
        <f t="shared" si="166"/>
        <v>Ｍ</v>
      </c>
      <c r="P140" t="str">
        <f t="shared" si="167"/>
        <v>01</v>
      </c>
      <c r="Q140" t="str">
        <f t="shared" si="168"/>
        <v>第１</v>
      </c>
      <c r="R140" t="str">
        <f t="shared" si="169"/>
        <v>1Y</v>
      </c>
      <c r="S140" t="str">
        <f t="shared" si="170"/>
        <v>安城第１工場</v>
      </c>
      <c r="T140" t="str">
        <f t="shared" si="171"/>
        <v>直接</v>
      </c>
      <c r="U140" t="str">
        <f>""</f>
        <v/>
      </c>
      <c r="V140" t="str">
        <f>""</f>
        <v/>
      </c>
      <c r="W140" t="str">
        <f>""</f>
        <v/>
      </c>
      <c r="X140">
        <v>1</v>
      </c>
      <c r="Y140">
        <v>1</v>
      </c>
      <c r="Z140">
        <v>2.33</v>
      </c>
      <c r="AA140">
        <v>1.0900000000000001</v>
      </c>
      <c r="AB140">
        <v>3</v>
      </c>
      <c r="AC140">
        <v>1.0900000000000001</v>
      </c>
      <c r="AD140">
        <v>1.0900000000000001</v>
      </c>
      <c r="AE140">
        <v>1.1000000000000001</v>
      </c>
      <c r="AF140">
        <v>0.5</v>
      </c>
      <c r="AG140" t="str">
        <f t="shared" si="184"/>
        <v>135</v>
      </c>
      <c r="AH140" t="str">
        <f t="shared" si="185"/>
        <v>（株）槌屋</v>
      </c>
      <c r="AI140" t="str">
        <f>"001"</f>
        <v>001</v>
      </c>
      <c r="AJ140" t="str">
        <f>"C1-14"</f>
        <v>C1-14</v>
      </c>
      <c r="AK140" t="str">
        <f>"10394"</f>
        <v>10394</v>
      </c>
      <c r="AL140" t="str">
        <f t="shared" si="186"/>
        <v>7390</v>
      </c>
      <c r="AM140" t="str">
        <f t="shared" si="187"/>
        <v>ﾗﾍﾞﾙ</v>
      </c>
      <c r="AN140" t="str">
        <f t="shared" si="177"/>
        <v>012</v>
      </c>
      <c r="AO140" t="str">
        <f t="shared" si="178"/>
        <v>TP-131 ﾊﾝﾖｳ</v>
      </c>
      <c r="AP140">
        <v>500</v>
      </c>
      <c r="AQ140" t="str">
        <f>""</f>
        <v/>
      </c>
      <c r="AR140" t="str">
        <f>""</f>
        <v/>
      </c>
      <c r="AS140" t="str">
        <f>""</f>
        <v/>
      </c>
      <c r="AT140" t="str">
        <f t="shared" si="172"/>
        <v>00</v>
      </c>
      <c r="AU140">
        <v>0.5</v>
      </c>
      <c r="AV140" t="str">
        <f>""</f>
        <v/>
      </c>
      <c r="AW140" t="str">
        <f t="shared" ref="AW140:AW147" si="192">"08"</f>
        <v>08</v>
      </c>
      <c r="AX140" t="str">
        <f t="shared" ref="AX140:AX147" si="193">"専用"</f>
        <v>専用</v>
      </c>
      <c r="AY140" t="str">
        <f t="shared" ref="AY140:AY147" si="194">"01"</f>
        <v>01</v>
      </c>
      <c r="AZ140" t="str">
        <f t="shared" ref="AZ140:AZ147" si="195">"後補充"</f>
        <v>後補充</v>
      </c>
      <c r="BA140" t="str">
        <f>""</f>
        <v/>
      </c>
      <c r="BB140" t="str">
        <f t="shared" si="188"/>
        <v>ＴＰ１３１フタナシ</v>
      </c>
      <c r="BC140" t="str">
        <f t="shared" si="189"/>
        <v xml:space="preserve"> 335.000</v>
      </c>
      <c r="BD140" t="str">
        <f t="shared" si="190"/>
        <v xml:space="preserve"> 168.000</v>
      </c>
      <c r="BE140" t="str">
        <f t="shared" si="191"/>
        <v xml:space="preserve"> 103.000</v>
      </c>
      <c r="BF140" t="str">
        <f t="shared" si="179"/>
        <v xml:space="preserve">   0.006</v>
      </c>
      <c r="BG140" t="str">
        <f>"   1.000"</f>
        <v xml:space="preserve">   1.000</v>
      </c>
      <c r="BH140" t="str">
        <f t="shared" si="173"/>
        <v>しない</v>
      </c>
      <c r="BI140" t="str">
        <f>""</f>
        <v/>
      </c>
      <c r="BJ140" t="str">
        <f t="shared" si="174"/>
        <v>MASTER01</v>
      </c>
      <c r="BK140" t="str">
        <f t="shared" ref="BK140:BK145" si="196">"2022/04/19"</f>
        <v>2022/04/19</v>
      </c>
      <c r="BL140" t="str">
        <f t="shared" si="175"/>
        <v>NE00</v>
      </c>
      <c r="BM140" t="str">
        <f t="shared" si="176"/>
        <v>１工工務Ｇ</v>
      </c>
      <c r="BN140" t="str">
        <f t="shared" si="148"/>
        <v>46548</v>
      </c>
      <c r="BO140" t="str">
        <f t="shared" si="149"/>
        <v>長畑　玲奈</v>
      </c>
    </row>
    <row r="141" spans="1:67">
      <c r="A141" t="s">
        <v>229</v>
      </c>
      <c r="B141" t="str">
        <f>""</f>
        <v/>
      </c>
      <c r="C141" t="str">
        <f>""</f>
        <v/>
      </c>
      <c r="D141" t="str">
        <f t="shared" si="180"/>
        <v>LABEL</v>
      </c>
      <c r="E141" t="str">
        <f t="shared" si="162"/>
        <v>1Y</v>
      </c>
      <c r="F141" t="str">
        <f t="shared" si="163"/>
        <v>第１工場</v>
      </c>
      <c r="G141" t="str">
        <f t="shared" si="164"/>
        <v>手配</v>
      </c>
      <c r="H141" t="str">
        <f t="shared" si="165"/>
        <v>Ｐ</v>
      </c>
      <c r="I141" t="str">
        <f t="shared" si="181"/>
        <v>3407</v>
      </c>
      <c r="J141" t="str">
        <f t="shared" si="182"/>
        <v>（株）槌屋</v>
      </c>
      <c r="K141" t="str">
        <f t="shared" si="161"/>
        <v>01</v>
      </c>
      <c r="L141" t="str">
        <f t="shared" si="183"/>
        <v>知立工場</v>
      </c>
      <c r="M141" t="str">
        <f t="shared" si="154"/>
        <v>――</v>
      </c>
      <c r="N141" t="str">
        <f t="shared" si="154"/>
        <v>――</v>
      </c>
      <c r="O141" t="str">
        <f t="shared" si="166"/>
        <v>Ｍ</v>
      </c>
      <c r="P141" t="str">
        <f t="shared" si="167"/>
        <v>01</v>
      </c>
      <c r="Q141" t="str">
        <f t="shared" si="168"/>
        <v>第１</v>
      </c>
      <c r="R141" t="str">
        <f t="shared" si="169"/>
        <v>1Y</v>
      </c>
      <c r="S141" t="str">
        <f t="shared" si="170"/>
        <v>安城第１工場</v>
      </c>
      <c r="T141" t="str">
        <f t="shared" si="171"/>
        <v>直接</v>
      </c>
      <c r="U141" t="str">
        <f>""</f>
        <v/>
      </c>
      <c r="V141" t="str">
        <f>""</f>
        <v/>
      </c>
      <c r="W141" t="str">
        <f>""</f>
        <v/>
      </c>
      <c r="X141">
        <v>1</v>
      </c>
      <c r="Y141">
        <v>1</v>
      </c>
      <c r="Z141">
        <v>2.33</v>
      </c>
      <c r="AA141">
        <v>1.0900000000000001</v>
      </c>
      <c r="AB141">
        <v>3</v>
      </c>
      <c r="AC141">
        <v>1.0900000000000001</v>
      </c>
      <c r="AD141">
        <v>1.0900000000000001</v>
      </c>
      <c r="AE141">
        <v>1.1000000000000001</v>
      </c>
      <c r="AF141">
        <v>0.5</v>
      </c>
      <c r="AG141" t="str">
        <f t="shared" si="184"/>
        <v>135</v>
      </c>
      <c r="AH141" t="str">
        <f t="shared" si="185"/>
        <v>（株）槌屋</v>
      </c>
      <c r="AI141" t="str">
        <f>"002"</f>
        <v>002</v>
      </c>
      <c r="AJ141" t="str">
        <f>"C1-20"</f>
        <v>C1-20</v>
      </c>
      <c r="AK141" t="str">
        <f>"10397"</f>
        <v>10397</v>
      </c>
      <c r="AL141" t="str">
        <f t="shared" si="186"/>
        <v>7390</v>
      </c>
      <c r="AM141" t="str">
        <f t="shared" si="187"/>
        <v>ﾗﾍﾞﾙ</v>
      </c>
      <c r="AN141" t="str">
        <f t="shared" si="177"/>
        <v>012</v>
      </c>
      <c r="AO141" t="str">
        <f t="shared" si="178"/>
        <v>TP-131 ﾊﾝﾖｳ</v>
      </c>
      <c r="AP141">
        <v>500</v>
      </c>
      <c r="AQ141" t="str">
        <f>""</f>
        <v/>
      </c>
      <c r="AR141" t="str">
        <f>""</f>
        <v/>
      </c>
      <c r="AS141" t="str">
        <f>""</f>
        <v/>
      </c>
      <c r="AT141" t="str">
        <f t="shared" si="172"/>
        <v>00</v>
      </c>
      <c r="AU141">
        <v>0.5</v>
      </c>
      <c r="AV141" t="str">
        <f>""</f>
        <v/>
      </c>
      <c r="AW141" t="str">
        <f t="shared" si="192"/>
        <v>08</v>
      </c>
      <c r="AX141" t="str">
        <f t="shared" si="193"/>
        <v>専用</v>
      </c>
      <c r="AY141" t="str">
        <f t="shared" si="194"/>
        <v>01</v>
      </c>
      <c r="AZ141" t="str">
        <f t="shared" si="195"/>
        <v>後補充</v>
      </c>
      <c r="BA141" t="str">
        <f>""</f>
        <v/>
      </c>
      <c r="BB141" t="str">
        <f t="shared" si="188"/>
        <v>ＴＰ１３１フタナシ</v>
      </c>
      <c r="BC141" t="str">
        <f t="shared" si="189"/>
        <v xml:space="preserve"> 335.000</v>
      </c>
      <c r="BD141" t="str">
        <f t="shared" si="190"/>
        <v xml:space="preserve"> 168.000</v>
      </c>
      <c r="BE141" t="str">
        <f t="shared" si="191"/>
        <v xml:space="preserve"> 103.000</v>
      </c>
      <c r="BF141" t="str">
        <f t="shared" si="179"/>
        <v xml:space="preserve">   0.006</v>
      </c>
      <c r="BG141" t="str">
        <f>"   1.000"</f>
        <v xml:space="preserve">   1.000</v>
      </c>
      <c r="BH141" t="str">
        <f t="shared" si="173"/>
        <v>しない</v>
      </c>
      <c r="BI141" t="str">
        <f>""</f>
        <v/>
      </c>
      <c r="BJ141" t="str">
        <f t="shared" si="174"/>
        <v>MASTER01</v>
      </c>
      <c r="BK141" t="str">
        <f t="shared" si="196"/>
        <v>2022/04/19</v>
      </c>
      <c r="BL141" t="str">
        <f t="shared" si="175"/>
        <v>NE00</v>
      </c>
      <c r="BM141" t="str">
        <f t="shared" si="176"/>
        <v>１工工務Ｇ</v>
      </c>
      <c r="BN141" t="str">
        <f t="shared" si="148"/>
        <v>46548</v>
      </c>
      <c r="BO141" t="str">
        <f t="shared" si="149"/>
        <v>長畑　玲奈</v>
      </c>
    </row>
    <row r="142" spans="1:67">
      <c r="A142" t="s">
        <v>230</v>
      </c>
      <c r="B142" t="str">
        <f>""</f>
        <v/>
      </c>
      <c r="C142" t="str">
        <f>""</f>
        <v/>
      </c>
      <c r="D142" t="str">
        <f t="shared" si="180"/>
        <v>LABEL</v>
      </c>
      <c r="E142" t="str">
        <f t="shared" si="162"/>
        <v>1Y</v>
      </c>
      <c r="F142" t="str">
        <f t="shared" si="163"/>
        <v>第１工場</v>
      </c>
      <c r="G142" t="str">
        <f t="shared" si="164"/>
        <v>手配</v>
      </c>
      <c r="H142" t="str">
        <f t="shared" si="165"/>
        <v>Ｐ</v>
      </c>
      <c r="I142" t="str">
        <f t="shared" si="181"/>
        <v>3407</v>
      </c>
      <c r="J142" t="str">
        <f t="shared" si="182"/>
        <v>（株）槌屋</v>
      </c>
      <c r="K142" t="str">
        <f t="shared" si="161"/>
        <v>01</v>
      </c>
      <c r="L142" t="str">
        <f t="shared" si="183"/>
        <v>知立工場</v>
      </c>
      <c r="M142" t="str">
        <f t="shared" ref="M142:N157" si="197">"――"</f>
        <v>――</v>
      </c>
      <c r="N142" t="str">
        <f t="shared" si="197"/>
        <v>――</v>
      </c>
      <c r="O142" t="str">
        <f t="shared" si="166"/>
        <v>Ｍ</v>
      </c>
      <c r="P142" t="str">
        <f t="shared" si="167"/>
        <v>01</v>
      </c>
      <c r="Q142" t="str">
        <f t="shared" si="168"/>
        <v>第１</v>
      </c>
      <c r="R142" t="str">
        <f t="shared" si="169"/>
        <v>1Y</v>
      </c>
      <c r="S142" t="str">
        <f t="shared" si="170"/>
        <v>安城第１工場</v>
      </c>
      <c r="T142" t="str">
        <f t="shared" si="171"/>
        <v>直接</v>
      </c>
      <c r="U142" t="str">
        <f>""</f>
        <v/>
      </c>
      <c r="V142" t="str">
        <f>""</f>
        <v/>
      </c>
      <c r="W142" t="str">
        <f>""</f>
        <v/>
      </c>
      <c r="X142">
        <v>1</v>
      </c>
      <c r="Y142">
        <v>1</v>
      </c>
      <c r="Z142">
        <v>2.33</v>
      </c>
      <c r="AA142">
        <v>1.0900000000000001</v>
      </c>
      <c r="AB142">
        <v>3</v>
      </c>
      <c r="AC142">
        <v>1.0900000000000001</v>
      </c>
      <c r="AD142">
        <v>1.0900000000000001</v>
      </c>
      <c r="AE142">
        <v>1.1000000000000001</v>
      </c>
      <c r="AF142">
        <v>0.5</v>
      </c>
      <c r="AG142" t="str">
        <f t="shared" si="184"/>
        <v>135</v>
      </c>
      <c r="AH142" t="str">
        <f t="shared" si="185"/>
        <v>（株）槌屋</v>
      </c>
      <c r="AI142" t="str">
        <f>"003"</f>
        <v>003</v>
      </c>
      <c r="AJ142" t="str">
        <f>"C1-21"</f>
        <v>C1-21</v>
      </c>
      <c r="AK142" t="str">
        <f>"10398"</f>
        <v>10398</v>
      </c>
      <c r="AL142" t="str">
        <f t="shared" si="186"/>
        <v>7390</v>
      </c>
      <c r="AM142" t="str">
        <f t="shared" si="187"/>
        <v>ﾗﾍﾞﾙ</v>
      </c>
      <c r="AN142" t="str">
        <f t="shared" si="177"/>
        <v>012</v>
      </c>
      <c r="AO142" t="str">
        <f t="shared" si="178"/>
        <v>TP-131 ﾊﾝﾖｳ</v>
      </c>
      <c r="AP142">
        <v>1000</v>
      </c>
      <c r="AQ142" t="str">
        <f>""</f>
        <v/>
      </c>
      <c r="AR142" t="str">
        <f>""</f>
        <v/>
      </c>
      <c r="AS142" t="str">
        <f>""</f>
        <v/>
      </c>
      <c r="AT142" t="str">
        <f t="shared" si="172"/>
        <v>00</v>
      </c>
      <c r="AU142">
        <v>0.5</v>
      </c>
      <c r="AV142" t="str">
        <f>""</f>
        <v/>
      </c>
      <c r="AW142" t="str">
        <f t="shared" si="192"/>
        <v>08</v>
      </c>
      <c r="AX142" t="str">
        <f t="shared" si="193"/>
        <v>専用</v>
      </c>
      <c r="AY142" t="str">
        <f t="shared" si="194"/>
        <v>01</v>
      </c>
      <c r="AZ142" t="str">
        <f t="shared" si="195"/>
        <v>後補充</v>
      </c>
      <c r="BA142" t="str">
        <f>""</f>
        <v/>
      </c>
      <c r="BB142" t="str">
        <f t="shared" si="188"/>
        <v>ＴＰ１３１フタナシ</v>
      </c>
      <c r="BC142" t="str">
        <f t="shared" si="189"/>
        <v xml:space="preserve"> 335.000</v>
      </c>
      <c r="BD142" t="str">
        <f t="shared" si="190"/>
        <v xml:space="preserve"> 168.000</v>
      </c>
      <c r="BE142" t="str">
        <f t="shared" si="191"/>
        <v xml:space="preserve"> 103.000</v>
      </c>
      <c r="BF142" t="str">
        <f t="shared" si="179"/>
        <v xml:space="preserve">   0.006</v>
      </c>
      <c r="BG142" t="str">
        <f>"   1.500"</f>
        <v xml:space="preserve">   1.500</v>
      </c>
      <c r="BH142" t="str">
        <f t="shared" si="173"/>
        <v>しない</v>
      </c>
      <c r="BI142" t="str">
        <f>""</f>
        <v/>
      </c>
      <c r="BJ142" t="str">
        <f t="shared" si="174"/>
        <v>MASTER01</v>
      </c>
      <c r="BK142" t="str">
        <f t="shared" si="196"/>
        <v>2022/04/19</v>
      </c>
      <c r="BL142" t="str">
        <f t="shared" si="175"/>
        <v>NE00</v>
      </c>
      <c r="BM142" t="str">
        <f t="shared" si="176"/>
        <v>１工工務Ｇ</v>
      </c>
      <c r="BN142" t="str">
        <f t="shared" si="148"/>
        <v>46548</v>
      </c>
      <c r="BO142" t="str">
        <f t="shared" si="149"/>
        <v>長畑　玲奈</v>
      </c>
    </row>
    <row r="143" spans="1:67">
      <c r="A143" t="s">
        <v>231</v>
      </c>
      <c r="B143" t="str">
        <f>""</f>
        <v/>
      </c>
      <c r="C143" t="str">
        <f>""</f>
        <v/>
      </c>
      <c r="D143" t="str">
        <f t="shared" si="180"/>
        <v>LABEL</v>
      </c>
      <c r="E143" t="str">
        <f t="shared" si="162"/>
        <v>1Y</v>
      </c>
      <c r="F143" t="str">
        <f t="shared" si="163"/>
        <v>第１工場</v>
      </c>
      <c r="G143" t="str">
        <f t="shared" si="164"/>
        <v>手配</v>
      </c>
      <c r="H143" t="str">
        <f t="shared" si="165"/>
        <v>Ｐ</v>
      </c>
      <c r="I143" t="str">
        <f t="shared" si="181"/>
        <v>3407</v>
      </c>
      <c r="J143" t="str">
        <f t="shared" si="182"/>
        <v>（株）槌屋</v>
      </c>
      <c r="K143" t="str">
        <f t="shared" si="161"/>
        <v>01</v>
      </c>
      <c r="L143" t="str">
        <f t="shared" si="183"/>
        <v>知立工場</v>
      </c>
      <c r="M143" t="str">
        <f t="shared" si="197"/>
        <v>――</v>
      </c>
      <c r="N143" t="str">
        <f t="shared" si="197"/>
        <v>――</v>
      </c>
      <c r="O143" t="str">
        <f t="shared" si="166"/>
        <v>Ｍ</v>
      </c>
      <c r="P143" t="str">
        <f t="shared" si="167"/>
        <v>01</v>
      </c>
      <c r="Q143" t="str">
        <f t="shared" si="168"/>
        <v>第１</v>
      </c>
      <c r="R143" t="str">
        <f t="shared" si="169"/>
        <v>1Y</v>
      </c>
      <c r="S143" t="str">
        <f t="shared" si="170"/>
        <v>安城第１工場</v>
      </c>
      <c r="T143" t="str">
        <f t="shared" si="171"/>
        <v>直接</v>
      </c>
      <c r="U143" t="str">
        <f>""</f>
        <v/>
      </c>
      <c r="V143" t="str">
        <f>""</f>
        <v/>
      </c>
      <c r="W143" t="str">
        <f>""</f>
        <v/>
      </c>
      <c r="X143">
        <v>1</v>
      </c>
      <c r="Y143">
        <v>1</v>
      </c>
      <c r="Z143">
        <v>2.33</v>
      </c>
      <c r="AA143">
        <v>1.0900000000000001</v>
      </c>
      <c r="AB143">
        <v>3</v>
      </c>
      <c r="AC143">
        <v>1.0900000000000001</v>
      </c>
      <c r="AD143">
        <v>1.0900000000000001</v>
      </c>
      <c r="AE143">
        <v>1.1000000000000001</v>
      </c>
      <c r="AF143">
        <v>0.5</v>
      </c>
      <c r="AG143" t="str">
        <f t="shared" si="184"/>
        <v>135</v>
      </c>
      <c r="AH143" t="str">
        <f t="shared" si="185"/>
        <v>（株）槌屋</v>
      </c>
      <c r="AI143" t="str">
        <f>"004"</f>
        <v>004</v>
      </c>
      <c r="AJ143" t="str">
        <f>"C1-13"</f>
        <v>C1-13</v>
      </c>
      <c r="AK143" t="str">
        <f>"10399"</f>
        <v>10399</v>
      </c>
      <c r="AL143" t="str">
        <f t="shared" si="186"/>
        <v>7390</v>
      </c>
      <c r="AM143" t="str">
        <f t="shared" si="187"/>
        <v>ﾗﾍﾞﾙ</v>
      </c>
      <c r="AN143" t="str">
        <f t="shared" si="177"/>
        <v>012</v>
      </c>
      <c r="AO143" t="str">
        <f t="shared" si="178"/>
        <v>TP-131 ﾊﾝﾖｳ</v>
      </c>
      <c r="AP143">
        <v>500</v>
      </c>
      <c r="AQ143" t="str">
        <f>""</f>
        <v/>
      </c>
      <c r="AR143" t="str">
        <f>""</f>
        <v/>
      </c>
      <c r="AS143" t="str">
        <f>""</f>
        <v/>
      </c>
      <c r="AT143" t="str">
        <f t="shared" si="172"/>
        <v>00</v>
      </c>
      <c r="AU143">
        <v>0.5</v>
      </c>
      <c r="AV143" t="str">
        <f>""</f>
        <v/>
      </c>
      <c r="AW143" t="str">
        <f t="shared" si="192"/>
        <v>08</v>
      </c>
      <c r="AX143" t="str">
        <f t="shared" si="193"/>
        <v>専用</v>
      </c>
      <c r="AY143" t="str">
        <f t="shared" si="194"/>
        <v>01</v>
      </c>
      <c r="AZ143" t="str">
        <f t="shared" si="195"/>
        <v>後補充</v>
      </c>
      <c r="BA143" t="str">
        <f>""</f>
        <v/>
      </c>
      <c r="BB143" t="str">
        <f t="shared" si="188"/>
        <v>ＴＰ１３１フタナシ</v>
      </c>
      <c r="BC143" t="str">
        <f t="shared" si="189"/>
        <v xml:space="preserve"> 335.000</v>
      </c>
      <c r="BD143" t="str">
        <f t="shared" si="190"/>
        <v xml:space="preserve"> 168.000</v>
      </c>
      <c r="BE143" t="str">
        <f t="shared" si="191"/>
        <v xml:space="preserve"> 103.000</v>
      </c>
      <c r="BF143" t="str">
        <f t="shared" si="179"/>
        <v xml:space="preserve">   0.006</v>
      </c>
      <c r="BG143" t="str">
        <f>"   1.000"</f>
        <v xml:space="preserve">   1.000</v>
      </c>
      <c r="BH143" t="str">
        <f t="shared" si="173"/>
        <v>しない</v>
      </c>
      <c r="BI143" t="str">
        <f>""</f>
        <v/>
      </c>
      <c r="BJ143" t="str">
        <f t="shared" si="174"/>
        <v>MASTER01</v>
      </c>
      <c r="BK143" t="str">
        <f t="shared" si="196"/>
        <v>2022/04/19</v>
      </c>
      <c r="BL143" t="str">
        <f t="shared" si="175"/>
        <v>NE00</v>
      </c>
      <c r="BM143" t="str">
        <f t="shared" si="176"/>
        <v>１工工務Ｇ</v>
      </c>
      <c r="BN143" t="str">
        <f t="shared" si="148"/>
        <v>46548</v>
      </c>
      <c r="BO143" t="str">
        <f t="shared" si="149"/>
        <v>長畑　玲奈</v>
      </c>
    </row>
    <row r="144" spans="1:67">
      <c r="A144" t="s">
        <v>232</v>
      </c>
      <c r="B144" t="str">
        <f>""</f>
        <v/>
      </c>
      <c r="C144" t="str">
        <f>""</f>
        <v/>
      </c>
      <c r="D144" t="str">
        <f t="shared" si="180"/>
        <v>LABEL</v>
      </c>
      <c r="E144" t="str">
        <f t="shared" si="162"/>
        <v>1Y</v>
      </c>
      <c r="F144" t="str">
        <f t="shared" si="163"/>
        <v>第１工場</v>
      </c>
      <c r="G144" t="str">
        <f t="shared" si="164"/>
        <v>手配</v>
      </c>
      <c r="H144" t="str">
        <f t="shared" si="165"/>
        <v>Ｐ</v>
      </c>
      <c r="I144" t="str">
        <f t="shared" si="181"/>
        <v>3407</v>
      </c>
      <c r="J144" t="str">
        <f t="shared" si="182"/>
        <v>（株）槌屋</v>
      </c>
      <c r="K144" t="str">
        <f t="shared" si="161"/>
        <v>01</v>
      </c>
      <c r="L144" t="str">
        <f t="shared" si="183"/>
        <v>知立工場</v>
      </c>
      <c r="M144" t="str">
        <f t="shared" si="197"/>
        <v>――</v>
      </c>
      <c r="N144" t="str">
        <f t="shared" si="197"/>
        <v>――</v>
      </c>
      <c r="O144" t="str">
        <f t="shared" si="166"/>
        <v>Ｍ</v>
      </c>
      <c r="P144" t="str">
        <f t="shared" si="167"/>
        <v>01</v>
      </c>
      <c r="Q144" t="str">
        <f t="shared" si="168"/>
        <v>第１</v>
      </c>
      <c r="R144" t="str">
        <f t="shared" si="169"/>
        <v>1Y</v>
      </c>
      <c r="S144" t="str">
        <f t="shared" si="170"/>
        <v>安城第１工場</v>
      </c>
      <c r="T144" t="str">
        <f t="shared" si="171"/>
        <v>直接</v>
      </c>
      <c r="U144" t="str">
        <f>""</f>
        <v/>
      </c>
      <c r="V144" t="str">
        <f>""</f>
        <v/>
      </c>
      <c r="W144" t="str">
        <f>""</f>
        <v/>
      </c>
      <c r="X144">
        <v>1</v>
      </c>
      <c r="Y144">
        <v>1</v>
      </c>
      <c r="Z144">
        <v>2.33</v>
      </c>
      <c r="AA144">
        <v>1.0900000000000001</v>
      </c>
      <c r="AB144">
        <v>3</v>
      </c>
      <c r="AC144">
        <v>1.0900000000000001</v>
      </c>
      <c r="AD144">
        <v>1.0900000000000001</v>
      </c>
      <c r="AE144">
        <v>1.1000000000000001</v>
      </c>
      <c r="AF144">
        <v>0.5</v>
      </c>
      <c r="AG144" t="str">
        <f t="shared" si="184"/>
        <v>135</v>
      </c>
      <c r="AH144" t="str">
        <f t="shared" si="185"/>
        <v>（株）槌屋</v>
      </c>
      <c r="AI144" t="str">
        <f>"005"</f>
        <v>005</v>
      </c>
      <c r="AJ144" t="str">
        <f>"C1-15"</f>
        <v>C1-15</v>
      </c>
      <c r="AK144" t="str">
        <f>"10395"</f>
        <v>10395</v>
      </c>
      <c r="AL144" t="str">
        <f t="shared" si="186"/>
        <v>7390</v>
      </c>
      <c r="AM144" t="str">
        <f t="shared" si="187"/>
        <v>ﾗﾍﾞﾙ</v>
      </c>
      <c r="AN144" t="str">
        <f t="shared" si="177"/>
        <v>012</v>
      </c>
      <c r="AO144" t="str">
        <f t="shared" si="178"/>
        <v>TP-131 ﾊﾝﾖｳ</v>
      </c>
      <c r="AP144">
        <v>500</v>
      </c>
      <c r="AQ144" t="str">
        <f>""</f>
        <v/>
      </c>
      <c r="AR144" t="str">
        <f>""</f>
        <v/>
      </c>
      <c r="AS144" t="str">
        <f>""</f>
        <v/>
      </c>
      <c r="AT144" t="str">
        <f t="shared" si="172"/>
        <v>00</v>
      </c>
      <c r="AU144">
        <v>0.5</v>
      </c>
      <c r="AV144" t="str">
        <f>""</f>
        <v/>
      </c>
      <c r="AW144" t="str">
        <f t="shared" si="192"/>
        <v>08</v>
      </c>
      <c r="AX144" t="str">
        <f t="shared" si="193"/>
        <v>専用</v>
      </c>
      <c r="AY144" t="str">
        <f t="shared" si="194"/>
        <v>01</v>
      </c>
      <c r="AZ144" t="str">
        <f t="shared" si="195"/>
        <v>後補充</v>
      </c>
      <c r="BA144" t="str">
        <f>""</f>
        <v/>
      </c>
      <c r="BB144" t="str">
        <f t="shared" si="188"/>
        <v>ＴＰ１３１フタナシ</v>
      </c>
      <c r="BC144" t="str">
        <f t="shared" si="189"/>
        <v xml:space="preserve"> 335.000</v>
      </c>
      <c r="BD144" t="str">
        <f t="shared" si="190"/>
        <v xml:space="preserve"> 168.000</v>
      </c>
      <c r="BE144" t="str">
        <f t="shared" si="191"/>
        <v xml:space="preserve"> 103.000</v>
      </c>
      <c r="BF144" t="str">
        <f t="shared" si="179"/>
        <v xml:space="preserve">   0.006</v>
      </c>
      <c r="BG144" t="str">
        <f>"   1.000"</f>
        <v xml:space="preserve">   1.000</v>
      </c>
      <c r="BH144" t="str">
        <f t="shared" si="173"/>
        <v>しない</v>
      </c>
      <c r="BI144" t="str">
        <f>""</f>
        <v/>
      </c>
      <c r="BJ144" t="str">
        <f t="shared" si="174"/>
        <v>MASTER01</v>
      </c>
      <c r="BK144" t="str">
        <f t="shared" si="196"/>
        <v>2022/04/19</v>
      </c>
      <c r="BL144" t="str">
        <f t="shared" si="175"/>
        <v>NE00</v>
      </c>
      <c r="BM144" t="str">
        <f t="shared" si="176"/>
        <v>１工工務Ｇ</v>
      </c>
      <c r="BN144" t="str">
        <f t="shared" si="148"/>
        <v>46548</v>
      </c>
      <c r="BO144" t="str">
        <f t="shared" si="149"/>
        <v>長畑　玲奈</v>
      </c>
    </row>
    <row r="145" spans="1:67">
      <c r="A145" t="s">
        <v>233</v>
      </c>
      <c r="B145" t="str">
        <f>""</f>
        <v/>
      </c>
      <c r="C145" t="str">
        <f>""</f>
        <v/>
      </c>
      <c r="D145" t="str">
        <f t="shared" si="180"/>
        <v>LABEL</v>
      </c>
      <c r="E145" t="str">
        <f t="shared" si="162"/>
        <v>1Y</v>
      </c>
      <c r="F145" t="str">
        <f t="shared" si="163"/>
        <v>第１工場</v>
      </c>
      <c r="G145" t="str">
        <f t="shared" si="164"/>
        <v>手配</v>
      </c>
      <c r="H145" t="str">
        <f t="shared" si="165"/>
        <v>Ｐ</v>
      </c>
      <c r="I145" t="str">
        <f t="shared" si="181"/>
        <v>3407</v>
      </c>
      <c r="J145" t="str">
        <f t="shared" si="182"/>
        <v>（株）槌屋</v>
      </c>
      <c r="K145" t="str">
        <f t="shared" si="161"/>
        <v>01</v>
      </c>
      <c r="L145" t="str">
        <f t="shared" si="183"/>
        <v>知立工場</v>
      </c>
      <c r="M145" t="str">
        <f t="shared" si="197"/>
        <v>――</v>
      </c>
      <c r="N145" t="str">
        <f t="shared" si="197"/>
        <v>――</v>
      </c>
      <c r="O145" t="str">
        <f t="shared" si="166"/>
        <v>Ｍ</v>
      </c>
      <c r="P145" t="str">
        <f t="shared" si="167"/>
        <v>01</v>
      </c>
      <c r="Q145" t="str">
        <f t="shared" si="168"/>
        <v>第１</v>
      </c>
      <c r="R145" t="str">
        <f t="shared" si="169"/>
        <v>1Y</v>
      </c>
      <c r="S145" t="str">
        <f t="shared" si="170"/>
        <v>安城第１工場</v>
      </c>
      <c r="T145" t="str">
        <f t="shared" si="171"/>
        <v>直接</v>
      </c>
      <c r="U145" t="str">
        <f>""</f>
        <v/>
      </c>
      <c r="V145" t="str">
        <f>""</f>
        <v/>
      </c>
      <c r="W145" t="str">
        <f>""</f>
        <v/>
      </c>
      <c r="X145">
        <v>1</v>
      </c>
      <c r="Y145">
        <v>1</v>
      </c>
      <c r="Z145">
        <v>2.33</v>
      </c>
      <c r="AA145">
        <v>1.0900000000000001</v>
      </c>
      <c r="AB145">
        <v>3</v>
      </c>
      <c r="AC145">
        <v>1.0900000000000001</v>
      </c>
      <c r="AD145">
        <v>1.0900000000000001</v>
      </c>
      <c r="AE145">
        <v>1.1000000000000001</v>
      </c>
      <c r="AF145">
        <v>0.5</v>
      </c>
      <c r="AG145" t="str">
        <f t="shared" si="184"/>
        <v>135</v>
      </c>
      <c r="AH145" t="str">
        <f t="shared" si="185"/>
        <v>（株）槌屋</v>
      </c>
      <c r="AI145" t="str">
        <f>"006"</f>
        <v>006</v>
      </c>
      <c r="AJ145" t="str">
        <f>"C1-16"</f>
        <v>C1-16</v>
      </c>
      <c r="AK145" t="str">
        <f>"10396"</f>
        <v>10396</v>
      </c>
      <c r="AL145" t="str">
        <f t="shared" si="186"/>
        <v>7390</v>
      </c>
      <c r="AM145" t="str">
        <f t="shared" si="187"/>
        <v>ﾗﾍﾞﾙ</v>
      </c>
      <c r="AN145" t="str">
        <f t="shared" si="177"/>
        <v>012</v>
      </c>
      <c r="AO145" t="str">
        <f t="shared" si="178"/>
        <v>TP-131 ﾊﾝﾖｳ</v>
      </c>
      <c r="AP145">
        <v>500</v>
      </c>
      <c r="AQ145" t="str">
        <f>""</f>
        <v/>
      </c>
      <c r="AR145" t="str">
        <f>""</f>
        <v/>
      </c>
      <c r="AS145" t="str">
        <f>""</f>
        <v/>
      </c>
      <c r="AT145" t="str">
        <f t="shared" si="172"/>
        <v>00</v>
      </c>
      <c r="AU145">
        <v>0.5</v>
      </c>
      <c r="AV145" t="str">
        <f>""</f>
        <v/>
      </c>
      <c r="AW145" t="str">
        <f t="shared" si="192"/>
        <v>08</v>
      </c>
      <c r="AX145" t="str">
        <f t="shared" si="193"/>
        <v>専用</v>
      </c>
      <c r="AY145" t="str">
        <f t="shared" si="194"/>
        <v>01</v>
      </c>
      <c r="AZ145" t="str">
        <f t="shared" si="195"/>
        <v>後補充</v>
      </c>
      <c r="BA145" t="str">
        <f>""</f>
        <v/>
      </c>
      <c r="BB145" t="str">
        <f t="shared" si="188"/>
        <v>ＴＰ１３１フタナシ</v>
      </c>
      <c r="BC145" t="str">
        <f t="shared" si="189"/>
        <v xml:space="preserve"> 335.000</v>
      </c>
      <c r="BD145" t="str">
        <f t="shared" si="190"/>
        <v xml:space="preserve"> 168.000</v>
      </c>
      <c r="BE145" t="str">
        <f t="shared" si="191"/>
        <v xml:space="preserve"> 103.000</v>
      </c>
      <c r="BF145" t="str">
        <f t="shared" si="179"/>
        <v xml:space="preserve">   0.006</v>
      </c>
      <c r="BG145" t="str">
        <f>"   1.000"</f>
        <v xml:space="preserve">   1.000</v>
      </c>
      <c r="BH145" t="str">
        <f t="shared" si="173"/>
        <v>しない</v>
      </c>
      <c r="BI145" t="str">
        <f>""</f>
        <v/>
      </c>
      <c r="BJ145" t="str">
        <f t="shared" si="174"/>
        <v>MASTER01</v>
      </c>
      <c r="BK145" t="str">
        <f t="shared" si="196"/>
        <v>2022/04/19</v>
      </c>
      <c r="BL145" t="str">
        <f t="shared" si="175"/>
        <v>NE00</v>
      </c>
      <c r="BM145" t="str">
        <f t="shared" si="176"/>
        <v>１工工務Ｇ</v>
      </c>
      <c r="BN145" t="str">
        <f t="shared" si="148"/>
        <v>46548</v>
      </c>
      <c r="BO145" t="str">
        <f t="shared" si="149"/>
        <v>長畑　玲奈</v>
      </c>
    </row>
    <row r="146" spans="1:67">
      <c r="A146" t="s">
        <v>234</v>
      </c>
      <c r="B146" t="str">
        <f>""</f>
        <v/>
      </c>
      <c r="C146" t="str">
        <f>""</f>
        <v/>
      </c>
      <c r="D146" t="str">
        <f t="shared" si="180"/>
        <v>LABEL</v>
      </c>
      <c r="E146" t="str">
        <f t="shared" si="162"/>
        <v>1Y</v>
      </c>
      <c r="F146" t="str">
        <f t="shared" si="163"/>
        <v>第１工場</v>
      </c>
      <c r="G146" t="str">
        <f t="shared" si="164"/>
        <v>手配</v>
      </c>
      <c r="H146" t="str">
        <f t="shared" si="165"/>
        <v>Ｐ</v>
      </c>
      <c r="I146" t="str">
        <f t="shared" si="181"/>
        <v>3407</v>
      </c>
      <c r="J146" t="str">
        <f t="shared" si="182"/>
        <v>（株）槌屋</v>
      </c>
      <c r="K146" t="str">
        <f t="shared" si="161"/>
        <v>01</v>
      </c>
      <c r="L146" t="str">
        <f t="shared" si="183"/>
        <v>知立工場</v>
      </c>
      <c r="M146" t="str">
        <f t="shared" si="197"/>
        <v>――</v>
      </c>
      <c r="N146" t="str">
        <f t="shared" si="197"/>
        <v>――</v>
      </c>
      <c r="O146" t="str">
        <f t="shared" si="166"/>
        <v>Ｍ</v>
      </c>
      <c r="P146" t="str">
        <f t="shared" si="167"/>
        <v>01</v>
      </c>
      <c r="Q146" t="str">
        <f t="shared" si="168"/>
        <v>第１</v>
      </c>
      <c r="R146" t="str">
        <f t="shared" si="169"/>
        <v>1Y</v>
      </c>
      <c r="S146" t="str">
        <f t="shared" si="170"/>
        <v>安城第１工場</v>
      </c>
      <c r="T146" t="str">
        <f t="shared" si="171"/>
        <v>直接</v>
      </c>
      <c r="U146" t="str">
        <f>""</f>
        <v/>
      </c>
      <c r="V146" t="str">
        <f>""</f>
        <v/>
      </c>
      <c r="W146" t="str">
        <f>""</f>
        <v/>
      </c>
      <c r="X146">
        <v>1</v>
      </c>
      <c r="Y146">
        <v>1</v>
      </c>
      <c r="Z146">
        <v>2.33</v>
      </c>
      <c r="AA146">
        <v>1.0900000000000001</v>
      </c>
      <c r="AB146">
        <v>3</v>
      </c>
      <c r="AC146">
        <v>1.0900000000000001</v>
      </c>
      <c r="AD146">
        <v>1.0900000000000001</v>
      </c>
      <c r="AE146">
        <v>1.1000000000000001</v>
      </c>
      <c r="AF146">
        <v>0.5</v>
      </c>
      <c r="AG146" t="str">
        <f t="shared" si="184"/>
        <v>135</v>
      </c>
      <c r="AH146" t="str">
        <f t="shared" si="185"/>
        <v>（株）槌屋</v>
      </c>
      <c r="AI146" t="str">
        <f>"007"</f>
        <v>007</v>
      </c>
      <c r="AJ146" t="str">
        <f>"C1-24"</f>
        <v>C1-24</v>
      </c>
      <c r="AK146" t="str">
        <f>"10505"</f>
        <v>10505</v>
      </c>
      <c r="AL146" t="str">
        <f t="shared" si="186"/>
        <v>7390</v>
      </c>
      <c r="AM146" t="str">
        <f t="shared" si="187"/>
        <v>ﾗﾍﾞﾙ</v>
      </c>
      <c r="AN146" t="str">
        <f t="shared" si="177"/>
        <v>012</v>
      </c>
      <c r="AO146" t="str">
        <f t="shared" si="178"/>
        <v>TP-131 ﾊﾝﾖｳ</v>
      </c>
      <c r="AP146">
        <v>500</v>
      </c>
      <c r="AQ146" t="str">
        <f>""</f>
        <v/>
      </c>
      <c r="AR146" t="str">
        <f>""</f>
        <v/>
      </c>
      <c r="AS146" t="str">
        <f>""</f>
        <v/>
      </c>
      <c r="AT146" t="str">
        <f t="shared" si="172"/>
        <v>00</v>
      </c>
      <c r="AU146">
        <v>0.5</v>
      </c>
      <c r="AV146" t="str">
        <f>""</f>
        <v/>
      </c>
      <c r="AW146" t="str">
        <f t="shared" si="192"/>
        <v>08</v>
      </c>
      <c r="AX146" t="str">
        <f t="shared" si="193"/>
        <v>専用</v>
      </c>
      <c r="AY146" t="str">
        <f t="shared" si="194"/>
        <v>01</v>
      </c>
      <c r="AZ146" t="str">
        <f t="shared" si="195"/>
        <v>後補充</v>
      </c>
      <c r="BA146" t="str">
        <f>""</f>
        <v/>
      </c>
      <c r="BB146" t="str">
        <f t="shared" si="188"/>
        <v>ＴＰ１３１フタナシ</v>
      </c>
      <c r="BC146" t="str">
        <f t="shared" si="189"/>
        <v xml:space="preserve"> 335.000</v>
      </c>
      <c r="BD146" t="str">
        <f t="shared" si="190"/>
        <v xml:space="preserve"> 168.000</v>
      </c>
      <c r="BE146" t="str">
        <f t="shared" si="191"/>
        <v xml:space="preserve"> 103.000</v>
      </c>
      <c r="BF146" t="str">
        <f t="shared" si="179"/>
        <v xml:space="preserve">   0.006</v>
      </c>
      <c r="BG146" t="str">
        <f>"   1.000"</f>
        <v xml:space="preserve">   1.000</v>
      </c>
      <c r="BH146" t="str">
        <f t="shared" si="173"/>
        <v>しない</v>
      </c>
      <c r="BI146" t="str">
        <f>""</f>
        <v/>
      </c>
      <c r="BJ146" t="str">
        <f>"20221101"</f>
        <v>20221101</v>
      </c>
      <c r="BK146" t="str">
        <f>"2022/11/23"</f>
        <v>2022/11/23</v>
      </c>
      <c r="BL146" t="str">
        <f t="shared" si="175"/>
        <v>NE00</v>
      </c>
      <c r="BM146" t="str">
        <f t="shared" si="176"/>
        <v>１工工務Ｇ</v>
      </c>
      <c r="BN146" t="str">
        <f>"39091"</f>
        <v>39091</v>
      </c>
      <c r="BO146" t="str">
        <f>"佐竹　良太"</f>
        <v>佐竹　良太</v>
      </c>
    </row>
    <row r="147" spans="1:67">
      <c r="A147" t="s">
        <v>235</v>
      </c>
      <c r="B147" t="str">
        <f>""</f>
        <v/>
      </c>
      <c r="C147" t="str">
        <f>""</f>
        <v/>
      </c>
      <c r="D147" t="s">
        <v>68</v>
      </c>
      <c r="E147" t="str">
        <f t="shared" si="162"/>
        <v>1Y</v>
      </c>
      <c r="F147" t="str">
        <f t="shared" si="163"/>
        <v>第１工場</v>
      </c>
      <c r="G147" t="str">
        <f t="shared" si="164"/>
        <v>手配</v>
      </c>
      <c r="H147" t="str">
        <f t="shared" si="165"/>
        <v>Ｐ</v>
      </c>
      <c r="I147" t="str">
        <f>"3836"</f>
        <v>3836</v>
      </c>
      <c r="J147" t="str">
        <f>"（株）東郷製作所"</f>
        <v>（株）東郷製作所</v>
      </c>
      <c r="K147" t="str">
        <f t="shared" si="161"/>
        <v>01</v>
      </c>
      <c r="L147" t="str">
        <f>""</f>
        <v/>
      </c>
      <c r="M147" t="str">
        <f t="shared" si="197"/>
        <v>――</v>
      </c>
      <c r="N147" t="str">
        <f t="shared" si="197"/>
        <v>――</v>
      </c>
      <c r="O147" t="str">
        <f t="shared" si="166"/>
        <v>Ｍ</v>
      </c>
      <c r="P147" t="str">
        <f t="shared" si="167"/>
        <v>01</v>
      </c>
      <c r="Q147" t="str">
        <f t="shared" si="168"/>
        <v>第１</v>
      </c>
      <c r="R147" t="str">
        <f t="shared" si="169"/>
        <v>1Y</v>
      </c>
      <c r="S147" t="str">
        <f t="shared" si="170"/>
        <v>安城第１工場</v>
      </c>
      <c r="T147" t="str">
        <f t="shared" si="171"/>
        <v>直接</v>
      </c>
      <c r="U147" t="str">
        <f>""</f>
        <v/>
      </c>
      <c r="V147" t="str">
        <f>""</f>
        <v/>
      </c>
      <c r="W147" t="str">
        <f>""</f>
        <v/>
      </c>
      <c r="X147">
        <v>1</v>
      </c>
      <c r="Y147">
        <v>8</v>
      </c>
      <c r="Z147">
        <v>11.12</v>
      </c>
      <c r="AA147">
        <v>0.99</v>
      </c>
      <c r="AB147">
        <v>3</v>
      </c>
      <c r="AC147">
        <v>0.99</v>
      </c>
      <c r="AD147">
        <v>0.99</v>
      </c>
      <c r="AE147">
        <v>1.1000000000000001</v>
      </c>
      <c r="AF147">
        <v>0.5</v>
      </c>
      <c r="AG147" t="str">
        <f>"041"</f>
        <v>041</v>
      </c>
      <c r="AH147" t="str">
        <f>"（株）東郷製作所"</f>
        <v>（株）東郷製作所</v>
      </c>
      <c r="AI147" t="str">
        <f>"001"</f>
        <v>001</v>
      </c>
      <c r="AJ147" t="str">
        <f>"R-7-2"</f>
        <v>R-7-2</v>
      </c>
      <c r="AK147" t="str">
        <f>"20400"</f>
        <v>20400</v>
      </c>
      <c r="AL147" t="str">
        <f>"1562"</f>
        <v>1562</v>
      </c>
      <c r="AM147" t="str">
        <f>"ｽﾌﾟﾘﾝｸﾞﾄ-ｼﾖﾝ"</f>
        <v>ｽﾌﾟﾘﾝｸﾞﾄ-ｼﾖﾝ</v>
      </c>
      <c r="AN147" t="str">
        <f>"014"</f>
        <v>014</v>
      </c>
      <c r="AO147" t="str">
        <f>"TP-331 ﾊﾝﾖｳ"</f>
        <v>TP-331 ﾊﾝﾖｳ</v>
      </c>
      <c r="AP147">
        <v>200</v>
      </c>
      <c r="AQ147" t="str">
        <f>""</f>
        <v/>
      </c>
      <c r="AR147" t="str">
        <f>""</f>
        <v/>
      </c>
      <c r="AS147" t="str">
        <f>""</f>
        <v/>
      </c>
      <c r="AT147" t="str">
        <f t="shared" si="172"/>
        <v>00</v>
      </c>
      <c r="AU147">
        <v>0.5</v>
      </c>
      <c r="AV147" t="str">
        <f>""</f>
        <v/>
      </c>
      <c r="AW147" t="str">
        <f t="shared" si="192"/>
        <v>08</v>
      </c>
      <c r="AX147" t="str">
        <f t="shared" si="193"/>
        <v>専用</v>
      </c>
      <c r="AY147" t="str">
        <f t="shared" si="194"/>
        <v>01</v>
      </c>
      <c r="AZ147" t="str">
        <f t="shared" si="195"/>
        <v>後補充</v>
      </c>
      <c r="BA147" t="str">
        <f>""</f>
        <v/>
      </c>
      <c r="BB147" t="str">
        <f>"ＴＰ３３１フタナシ"</f>
        <v>ＴＰ３３１フタナシ</v>
      </c>
      <c r="BC147" t="str">
        <f t="shared" si="189"/>
        <v xml:space="preserve"> 335.000</v>
      </c>
      <c r="BD147" t="str">
        <f t="shared" si="189"/>
        <v xml:space="preserve"> 335.000</v>
      </c>
      <c r="BE147" t="str">
        <f t="shared" si="191"/>
        <v xml:space="preserve"> 103.000</v>
      </c>
      <c r="BF147" t="str">
        <f>"   0.012"</f>
        <v xml:space="preserve">   0.012</v>
      </c>
      <c r="BG147" t="str">
        <f>"   4.480"</f>
        <v xml:space="preserve">   4.480</v>
      </c>
      <c r="BH147" t="str">
        <f t="shared" si="173"/>
        <v>しない</v>
      </c>
      <c r="BI147" t="str">
        <f>""</f>
        <v/>
      </c>
      <c r="BJ147" t="str">
        <f t="shared" ref="BJ147:BJ210" si="198">"MASTER01"</f>
        <v>MASTER01</v>
      </c>
      <c r="BK147" t="str">
        <f>"2022/04/19"</f>
        <v>2022/04/19</v>
      </c>
      <c r="BL147" t="str">
        <f t="shared" si="175"/>
        <v>NE00</v>
      </c>
      <c r="BM147" t="str">
        <f t="shared" si="176"/>
        <v>１工工務Ｇ</v>
      </c>
      <c r="BN147" t="str">
        <f t="shared" ref="BN147:BN164" si="199">"46548"</f>
        <v>46548</v>
      </c>
      <c r="BO147" t="str">
        <f t="shared" ref="BO147:BO164" si="200">"長畑　玲奈"</f>
        <v>長畑　玲奈</v>
      </c>
    </row>
    <row r="148" spans="1:67">
      <c r="A148" t="s">
        <v>236</v>
      </c>
      <c r="B148" t="str">
        <f>""</f>
        <v/>
      </c>
      <c r="C148" t="str">
        <f>""</f>
        <v/>
      </c>
      <c r="D148" t="s">
        <v>68</v>
      </c>
      <c r="E148" t="str">
        <f t="shared" si="162"/>
        <v>1Y</v>
      </c>
      <c r="F148" t="str">
        <f t="shared" si="163"/>
        <v>第１工場</v>
      </c>
      <c r="G148" t="str">
        <f t="shared" si="164"/>
        <v>手配</v>
      </c>
      <c r="H148" t="str">
        <f t="shared" si="165"/>
        <v>Ｐ</v>
      </c>
      <c r="I148" t="str">
        <f>"3836"</f>
        <v>3836</v>
      </c>
      <c r="J148" t="str">
        <f>"（株）東郷製作所"</f>
        <v>（株）東郷製作所</v>
      </c>
      <c r="K148" t="str">
        <f t="shared" si="161"/>
        <v>01</v>
      </c>
      <c r="L148" t="str">
        <f>""</f>
        <v/>
      </c>
      <c r="M148" t="str">
        <f t="shared" si="197"/>
        <v>――</v>
      </c>
      <c r="N148" t="str">
        <f t="shared" si="197"/>
        <v>――</v>
      </c>
      <c r="O148" t="str">
        <f t="shared" si="166"/>
        <v>Ｍ</v>
      </c>
      <c r="P148" t="str">
        <f t="shared" si="167"/>
        <v>01</v>
      </c>
      <c r="Q148" t="str">
        <f t="shared" si="168"/>
        <v>第１</v>
      </c>
      <c r="R148" t="str">
        <f t="shared" si="169"/>
        <v>1Y</v>
      </c>
      <c r="S148" t="str">
        <f t="shared" si="170"/>
        <v>安城第１工場</v>
      </c>
      <c r="T148" t="str">
        <f t="shared" si="171"/>
        <v>直接</v>
      </c>
      <c r="U148" t="str">
        <f>""</f>
        <v/>
      </c>
      <c r="V148" t="str">
        <f>""</f>
        <v/>
      </c>
      <c r="W148" t="str">
        <f>""</f>
        <v/>
      </c>
      <c r="X148">
        <v>1</v>
      </c>
      <c r="Y148">
        <v>8</v>
      </c>
      <c r="Z148">
        <v>11.12</v>
      </c>
      <c r="AA148">
        <v>0.99</v>
      </c>
      <c r="AB148">
        <v>3</v>
      </c>
      <c r="AC148">
        <v>0.99</v>
      </c>
      <c r="AD148">
        <v>0.99</v>
      </c>
      <c r="AE148">
        <v>1.1000000000000001</v>
      </c>
      <c r="AF148">
        <v>0.5</v>
      </c>
      <c r="AG148" t="str">
        <f>"041"</f>
        <v>041</v>
      </c>
      <c r="AH148" t="str">
        <f>"（株）東郷製作所"</f>
        <v>（株）東郷製作所</v>
      </c>
      <c r="AI148" t="str">
        <f>"005"</f>
        <v>005</v>
      </c>
      <c r="AJ148" t="str">
        <f>""</f>
        <v/>
      </c>
      <c r="AK148" t="str">
        <f>""</f>
        <v/>
      </c>
      <c r="AL148" t="str">
        <f>"1562"</f>
        <v>1562</v>
      </c>
      <c r="AM148" t="str">
        <f>"ｽﾌﾟﾘﾝｸﾞ ﾄ-ｼﾖﾝ"</f>
        <v>ｽﾌﾟﾘﾝｸﾞ ﾄ-ｼﾖﾝ</v>
      </c>
      <c r="AN148" t="str">
        <f>"014"</f>
        <v>014</v>
      </c>
      <c r="AO148" t="str">
        <f>"TP-331 ﾊﾝﾖｳ"</f>
        <v>TP-331 ﾊﾝﾖｳ</v>
      </c>
      <c r="AP148">
        <v>200</v>
      </c>
      <c r="AQ148" t="str">
        <f>""</f>
        <v/>
      </c>
      <c r="AR148" t="str">
        <f>""</f>
        <v/>
      </c>
      <c r="AS148" t="str">
        <f>""</f>
        <v/>
      </c>
      <c r="AT148" t="str">
        <f t="shared" si="172"/>
        <v>00</v>
      </c>
      <c r="AU148">
        <v>0.5</v>
      </c>
      <c r="AV148" t="str">
        <f>""</f>
        <v/>
      </c>
      <c r="AW148" t="str">
        <f>""</f>
        <v/>
      </c>
      <c r="AX148" t="str">
        <f>""</f>
        <v/>
      </c>
      <c r="AY148" t="str">
        <f>""</f>
        <v/>
      </c>
      <c r="AZ148" t="str">
        <f>""</f>
        <v/>
      </c>
      <c r="BA148" t="str">
        <f>""</f>
        <v/>
      </c>
      <c r="BB148" t="str">
        <f>"ＴＰ３３１フタナシ"</f>
        <v>ＴＰ３３１フタナシ</v>
      </c>
      <c r="BC148" t="str">
        <f t="shared" si="189"/>
        <v xml:space="preserve"> 335.000</v>
      </c>
      <c r="BD148" t="str">
        <f t="shared" si="189"/>
        <v xml:space="preserve"> 335.000</v>
      </c>
      <c r="BE148" t="str">
        <f t="shared" si="191"/>
        <v xml:space="preserve"> 103.000</v>
      </c>
      <c r="BF148" t="str">
        <f>"   0.012"</f>
        <v xml:space="preserve">   0.012</v>
      </c>
      <c r="BG148" t="str">
        <f>"   4.480"</f>
        <v xml:space="preserve">   4.480</v>
      </c>
      <c r="BH148" t="str">
        <f t="shared" si="173"/>
        <v>しない</v>
      </c>
      <c r="BI148" t="str">
        <f>""</f>
        <v/>
      </c>
      <c r="BJ148" t="str">
        <f t="shared" si="198"/>
        <v>MASTER01</v>
      </c>
      <c r="BK148" t="str">
        <f>"2023/01/17"</f>
        <v>2023/01/17</v>
      </c>
      <c r="BL148" t="str">
        <f t="shared" si="175"/>
        <v>NE00</v>
      </c>
      <c r="BM148" t="str">
        <f t="shared" si="176"/>
        <v>１工工務Ｇ</v>
      </c>
      <c r="BN148" t="str">
        <f t="shared" si="199"/>
        <v>46548</v>
      </c>
      <c r="BO148" t="str">
        <f t="shared" si="200"/>
        <v>長畑　玲奈</v>
      </c>
    </row>
    <row r="149" spans="1:67">
      <c r="A149" t="s">
        <v>237</v>
      </c>
      <c r="B149" t="str">
        <f>""</f>
        <v/>
      </c>
      <c r="C149" t="str">
        <f>""</f>
        <v/>
      </c>
      <c r="D149" t="s">
        <v>69</v>
      </c>
      <c r="E149" t="str">
        <f t="shared" si="162"/>
        <v>1Y</v>
      </c>
      <c r="F149" t="str">
        <f t="shared" si="163"/>
        <v>第１工場</v>
      </c>
      <c r="G149" t="str">
        <f t="shared" si="164"/>
        <v>手配</v>
      </c>
      <c r="H149" t="str">
        <f t="shared" si="165"/>
        <v>Ｐ</v>
      </c>
      <c r="I149" t="str">
        <f>"3836"</f>
        <v>3836</v>
      </c>
      <c r="J149" t="str">
        <f>"（株）東郷製作所"</f>
        <v>（株）東郷製作所</v>
      </c>
      <c r="K149" t="str">
        <f t="shared" si="161"/>
        <v>01</v>
      </c>
      <c r="L149" t="str">
        <f>""</f>
        <v/>
      </c>
      <c r="M149" t="str">
        <f t="shared" si="197"/>
        <v>――</v>
      </c>
      <c r="N149" t="str">
        <f t="shared" si="197"/>
        <v>――</v>
      </c>
      <c r="O149" t="str">
        <f t="shared" si="166"/>
        <v>Ｍ</v>
      </c>
      <c r="P149" t="str">
        <f t="shared" si="167"/>
        <v>01</v>
      </c>
      <c r="Q149" t="str">
        <f t="shared" si="168"/>
        <v>第１</v>
      </c>
      <c r="R149" t="str">
        <f t="shared" si="169"/>
        <v>1Y</v>
      </c>
      <c r="S149" t="str">
        <f t="shared" si="170"/>
        <v>安城第１工場</v>
      </c>
      <c r="T149" t="str">
        <f t="shared" si="171"/>
        <v>直接</v>
      </c>
      <c r="U149" t="str">
        <f>""</f>
        <v/>
      </c>
      <c r="V149" t="str">
        <f>""</f>
        <v/>
      </c>
      <c r="W149" t="str">
        <f>""</f>
        <v/>
      </c>
      <c r="X149">
        <v>1</v>
      </c>
      <c r="Y149">
        <v>8</v>
      </c>
      <c r="Z149">
        <v>11.12</v>
      </c>
      <c r="AA149">
        <v>0.99</v>
      </c>
      <c r="AB149">
        <v>3</v>
      </c>
      <c r="AC149">
        <v>0.99</v>
      </c>
      <c r="AD149">
        <v>0.99</v>
      </c>
      <c r="AE149">
        <v>1.1000000000000001</v>
      </c>
      <c r="AF149">
        <v>0.5</v>
      </c>
      <c r="AG149" t="str">
        <f>"041"</f>
        <v>041</v>
      </c>
      <c r="AH149" t="str">
        <f>"（株）東郷製作所"</f>
        <v>（株）東郷製作所</v>
      </c>
      <c r="AI149" t="str">
        <f>"002"</f>
        <v>002</v>
      </c>
      <c r="AJ149" t="str">
        <f>"S-TA-2-28"</f>
        <v>S-TA-2-28</v>
      </c>
      <c r="AK149" t="str">
        <f>"20401"</f>
        <v>20401</v>
      </c>
      <c r="AL149" t="str">
        <f>"1502"</f>
        <v>1502</v>
      </c>
      <c r="AM149" t="str">
        <f>"ｽﾌﾟﾘﾝｸﾞﾘﾃｰﾅｰ"</f>
        <v>ｽﾌﾟﾘﾝｸﾞﾘﾃｰﾅｰ</v>
      </c>
      <c r="AN149" t="str">
        <f>"014"</f>
        <v>014</v>
      </c>
      <c r="AO149" t="str">
        <f>"TP-331 ﾊﾝﾖｳ"</f>
        <v>TP-331 ﾊﾝﾖｳ</v>
      </c>
      <c r="AP149">
        <v>500</v>
      </c>
      <c r="AQ149" t="str">
        <f>""</f>
        <v/>
      </c>
      <c r="AR149" t="str">
        <f>""</f>
        <v/>
      </c>
      <c r="AS149" t="str">
        <f>""</f>
        <v/>
      </c>
      <c r="AT149" t="str">
        <f t="shared" si="172"/>
        <v>00</v>
      </c>
      <c r="AU149">
        <v>0.5</v>
      </c>
      <c r="AV149" t="str">
        <f>""</f>
        <v/>
      </c>
      <c r="AW149" t="str">
        <f>"08"</f>
        <v>08</v>
      </c>
      <c r="AX149" t="str">
        <f>"専用"</f>
        <v>専用</v>
      </c>
      <c r="AY149" t="str">
        <f>"01"</f>
        <v>01</v>
      </c>
      <c r="AZ149" t="str">
        <f>"後補充"</f>
        <v>後補充</v>
      </c>
      <c r="BA149" t="str">
        <f>""</f>
        <v/>
      </c>
      <c r="BB149" t="str">
        <f>"ＴＰ３３１フタナシ"</f>
        <v>ＴＰ３３１フタナシ</v>
      </c>
      <c r="BC149" t="str">
        <f t="shared" si="189"/>
        <v xml:space="preserve"> 335.000</v>
      </c>
      <c r="BD149" t="str">
        <f t="shared" si="189"/>
        <v xml:space="preserve"> 335.000</v>
      </c>
      <c r="BE149" t="str">
        <f t="shared" si="191"/>
        <v xml:space="preserve"> 103.000</v>
      </c>
      <c r="BF149" t="str">
        <f>"   0.012"</f>
        <v xml:space="preserve">   0.012</v>
      </c>
      <c r="BG149" t="str">
        <f>"   2.650"</f>
        <v xml:space="preserve">   2.650</v>
      </c>
      <c r="BH149" t="str">
        <f t="shared" si="173"/>
        <v>しない</v>
      </c>
      <c r="BI149" t="str">
        <f>""</f>
        <v/>
      </c>
      <c r="BJ149" t="str">
        <f t="shared" si="198"/>
        <v>MASTER01</v>
      </c>
      <c r="BK149" t="str">
        <f>"2022/04/19"</f>
        <v>2022/04/19</v>
      </c>
      <c r="BL149" t="str">
        <f t="shared" si="175"/>
        <v>NE00</v>
      </c>
      <c r="BM149" t="str">
        <f t="shared" si="176"/>
        <v>１工工務Ｇ</v>
      </c>
      <c r="BN149" t="str">
        <f t="shared" si="199"/>
        <v>46548</v>
      </c>
      <c r="BO149" t="str">
        <f t="shared" si="200"/>
        <v>長畑　玲奈</v>
      </c>
    </row>
    <row r="150" spans="1:67">
      <c r="A150">
        <v>9025405021</v>
      </c>
      <c r="B150" t="str">
        <f>""</f>
        <v/>
      </c>
      <c r="C150" t="str">
        <f>""</f>
        <v/>
      </c>
      <c r="D150" t="s">
        <v>70</v>
      </c>
      <c r="E150" t="str">
        <f t="shared" si="162"/>
        <v>1Y</v>
      </c>
      <c r="F150" t="str">
        <f t="shared" si="163"/>
        <v>第１工場</v>
      </c>
      <c r="G150" t="str">
        <f t="shared" si="164"/>
        <v>手配</v>
      </c>
      <c r="H150" t="str">
        <f t="shared" si="165"/>
        <v>Ｐ</v>
      </c>
      <c r="I150" t="str">
        <f>"3874"</f>
        <v>3874</v>
      </c>
      <c r="J150" t="str">
        <f>"トピー実業（株）"</f>
        <v>トピー実業（株）</v>
      </c>
      <c r="K150" t="str">
        <f t="shared" si="161"/>
        <v>01</v>
      </c>
      <c r="L150" t="str">
        <f>""</f>
        <v/>
      </c>
      <c r="M150" t="str">
        <f t="shared" si="197"/>
        <v>――</v>
      </c>
      <c r="N150" t="str">
        <f t="shared" si="197"/>
        <v>――</v>
      </c>
      <c r="O150" t="str">
        <f t="shared" si="166"/>
        <v>Ｍ</v>
      </c>
      <c r="P150" t="str">
        <f t="shared" si="167"/>
        <v>01</v>
      </c>
      <c r="Q150" t="str">
        <f t="shared" si="168"/>
        <v>第１</v>
      </c>
      <c r="R150" t="str">
        <f t="shared" si="169"/>
        <v>1Y</v>
      </c>
      <c r="S150" t="str">
        <f t="shared" si="170"/>
        <v>安城第１工場</v>
      </c>
      <c r="T150" t="str">
        <f t="shared" si="171"/>
        <v>直接</v>
      </c>
      <c r="U150" t="str">
        <f>""</f>
        <v/>
      </c>
      <c r="V150" t="str">
        <f>""</f>
        <v/>
      </c>
      <c r="W150" t="str">
        <f>""</f>
        <v/>
      </c>
      <c r="X150">
        <v>1</v>
      </c>
      <c r="Y150">
        <v>1</v>
      </c>
      <c r="Z150">
        <v>1.95</v>
      </c>
      <c r="AA150">
        <v>0.42</v>
      </c>
      <c r="AB150">
        <v>0</v>
      </c>
      <c r="AC150">
        <v>0.42</v>
      </c>
      <c r="AD150">
        <v>0.42</v>
      </c>
      <c r="AE150">
        <v>1.1000000000000001</v>
      </c>
      <c r="AF150">
        <v>0.5</v>
      </c>
      <c r="AG150" t="str">
        <f>"074"</f>
        <v>074</v>
      </c>
      <c r="AH150" t="str">
        <f>"トピー実業（株）名古屋支店"</f>
        <v>トピー実業（株）名古屋支店</v>
      </c>
      <c r="AI150" t="str">
        <f>"001"</f>
        <v>001</v>
      </c>
      <c r="AJ150" t="str">
        <f>""</f>
        <v/>
      </c>
      <c r="AK150" t="str">
        <f>""</f>
        <v/>
      </c>
      <c r="AL150" t="str">
        <f>"0026"</f>
        <v>0026</v>
      </c>
      <c r="AM150" t="str">
        <f>"ﾋﾟﾝ"</f>
        <v>ﾋﾟﾝ</v>
      </c>
      <c r="AN150" t="str">
        <f>"012"</f>
        <v>012</v>
      </c>
      <c r="AO150" t="str">
        <f>"TP-131 ﾊﾝﾖｳ"</f>
        <v>TP-131 ﾊﾝﾖｳ</v>
      </c>
      <c r="AP150">
        <v>2000</v>
      </c>
      <c r="AQ150" t="str">
        <f>""</f>
        <v/>
      </c>
      <c r="AR150" t="str">
        <f>""</f>
        <v/>
      </c>
      <c r="AS150" t="str">
        <f>""</f>
        <v/>
      </c>
      <c r="AT150" t="str">
        <f t="shared" si="172"/>
        <v>00</v>
      </c>
      <c r="AU150">
        <v>0.8</v>
      </c>
      <c r="AV150" t="str">
        <f>""</f>
        <v/>
      </c>
      <c r="AW150" t="str">
        <f>""</f>
        <v/>
      </c>
      <c r="AX150" t="str">
        <f>""</f>
        <v/>
      </c>
      <c r="AY150" t="str">
        <f>""</f>
        <v/>
      </c>
      <c r="AZ150" t="str">
        <f>""</f>
        <v/>
      </c>
      <c r="BA150" t="str">
        <f>""</f>
        <v/>
      </c>
      <c r="BB150" t="str">
        <f>""</f>
        <v/>
      </c>
      <c r="BC150" t="str">
        <f>" 168.000"</f>
        <v xml:space="preserve"> 168.000</v>
      </c>
      <c r="BD150" t="str">
        <f t="shared" si="189"/>
        <v xml:space="preserve"> 335.000</v>
      </c>
      <c r="BE150" t="str">
        <f t="shared" si="191"/>
        <v xml:space="preserve"> 103.000</v>
      </c>
      <c r="BF150" t="str">
        <f>"   0.006"</f>
        <v xml:space="preserve">   0.006</v>
      </c>
      <c r="BG150" t="str">
        <f>"   5.800"</f>
        <v xml:space="preserve">   5.800</v>
      </c>
      <c r="BH150" t="str">
        <f t="shared" si="173"/>
        <v>しない</v>
      </c>
      <c r="BI150" t="str">
        <f>""</f>
        <v/>
      </c>
      <c r="BJ150" t="str">
        <f t="shared" si="198"/>
        <v>MASTER01</v>
      </c>
      <c r="BK150" t="str">
        <f>"2023/01/17"</f>
        <v>2023/01/17</v>
      </c>
      <c r="BL150" t="str">
        <f t="shared" si="175"/>
        <v>NE00</v>
      </c>
      <c r="BM150" t="str">
        <f t="shared" si="176"/>
        <v>１工工務Ｇ</v>
      </c>
      <c r="BN150" t="str">
        <f t="shared" si="199"/>
        <v>46548</v>
      </c>
      <c r="BO150" t="str">
        <f t="shared" si="200"/>
        <v>長畑　玲奈</v>
      </c>
    </row>
    <row r="151" spans="1:67">
      <c r="A151" t="s">
        <v>238</v>
      </c>
      <c r="B151" t="str">
        <f>""</f>
        <v/>
      </c>
      <c r="C151" t="str">
        <f>""</f>
        <v/>
      </c>
      <c r="D151" t="s">
        <v>71</v>
      </c>
      <c r="E151" t="str">
        <f t="shared" si="162"/>
        <v>1Y</v>
      </c>
      <c r="F151" t="str">
        <f t="shared" si="163"/>
        <v>第１工場</v>
      </c>
      <c r="G151" t="str">
        <f t="shared" si="164"/>
        <v>手配</v>
      </c>
      <c r="H151" t="str">
        <f t="shared" si="165"/>
        <v>Ｐ</v>
      </c>
      <c r="I151" t="str">
        <f t="shared" ref="I151:I164" si="201">"3880"</f>
        <v>3880</v>
      </c>
      <c r="J151" t="str">
        <f t="shared" ref="J151:J164" si="202">"（株）ＢｌｕＥ　Ｎｅｘｕｓ"</f>
        <v>（株）ＢｌｕＥ　Ｎｅｘｕｓ</v>
      </c>
      <c r="K151" t="str">
        <f t="shared" si="161"/>
        <v>01</v>
      </c>
      <c r="L151" t="str">
        <f t="shared" ref="L151:L164" si="203">"デンソー　安城製作所"</f>
        <v>デンソー　安城製作所</v>
      </c>
      <c r="M151" t="str">
        <f t="shared" ref="M151:M164" si="204">"受代"</f>
        <v>受代</v>
      </c>
      <c r="N151" t="str">
        <f t="shared" si="197"/>
        <v>――</v>
      </c>
      <c r="O151" t="str">
        <f t="shared" si="166"/>
        <v>Ｍ</v>
      </c>
      <c r="P151" t="str">
        <f t="shared" si="167"/>
        <v>01</v>
      </c>
      <c r="Q151" t="str">
        <f t="shared" si="168"/>
        <v>第１</v>
      </c>
      <c r="R151" t="str">
        <f t="shared" si="169"/>
        <v>1Y</v>
      </c>
      <c r="S151" t="str">
        <f t="shared" si="170"/>
        <v>安城第１工場</v>
      </c>
      <c r="T151" t="str">
        <f t="shared" si="171"/>
        <v>直接</v>
      </c>
      <c r="U151" t="str">
        <f>""</f>
        <v/>
      </c>
      <c r="V151" t="str">
        <f>""</f>
        <v/>
      </c>
      <c r="W151" t="str">
        <f>""</f>
        <v/>
      </c>
      <c r="X151">
        <v>1</v>
      </c>
      <c r="Y151">
        <v>6</v>
      </c>
      <c r="Z151">
        <v>3.3</v>
      </c>
      <c r="AA151">
        <v>2.11</v>
      </c>
      <c r="AB151">
        <v>3</v>
      </c>
      <c r="AC151">
        <v>2.11</v>
      </c>
      <c r="AD151">
        <v>2.11</v>
      </c>
      <c r="AE151">
        <v>1.1000000000000001</v>
      </c>
      <c r="AF151">
        <v>0.5</v>
      </c>
      <c r="AG151" t="str">
        <f t="shared" ref="AG151:AG164" si="205">"922"</f>
        <v>922</v>
      </c>
      <c r="AH151" t="str">
        <f t="shared" ref="AH151:AH164" si="206">"ＢｌｕＥ　Ｎｅｘｕｓ"</f>
        <v>ＢｌｕＥ　Ｎｅｘｕｓ</v>
      </c>
      <c r="AI151" t="str">
        <f>"013"</f>
        <v>013</v>
      </c>
      <c r="AJ151" t="str">
        <f>""</f>
        <v/>
      </c>
      <c r="AK151" t="str">
        <f>""</f>
        <v/>
      </c>
      <c r="AL151" t="str">
        <f t="shared" ref="AL151:AL156" si="207">"6402"</f>
        <v>6402</v>
      </c>
      <c r="AM151" t="str">
        <f t="shared" ref="AM151:AM156" si="208">"ﾜｲﾔ- T/M"</f>
        <v>ﾜｲﾔ- T/M</v>
      </c>
      <c r="AN151" t="str">
        <f>"016"</f>
        <v>016</v>
      </c>
      <c r="AO151" t="str">
        <f>"TP-332 ﾊﾝﾖｳ"</f>
        <v>TP-332 ﾊﾝﾖｳ</v>
      </c>
      <c r="AP151">
        <v>6</v>
      </c>
      <c r="AQ151" t="str">
        <f>""</f>
        <v/>
      </c>
      <c r="AR151" t="str">
        <f>""</f>
        <v/>
      </c>
      <c r="AS151" t="str">
        <f>""</f>
        <v/>
      </c>
      <c r="AT151" t="str">
        <f t="shared" si="172"/>
        <v>00</v>
      </c>
      <c r="AU151">
        <v>0.5</v>
      </c>
      <c r="AV151" t="str">
        <f>""</f>
        <v/>
      </c>
      <c r="AW151" t="str">
        <f>""</f>
        <v/>
      </c>
      <c r="AX151" t="str">
        <f>""</f>
        <v/>
      </c>
      <c r="AY151" t="str">
        <f>""</f>
        <v/>
      </c>
      <c r="AZ151" t="str">
        <f>""</f>
        <v/>
      </c>
      <c r="BA151" t="str">
        <f>""</f>
        <v/>
      </c>
      <c r="BB151" t="str">
        <f>"ＴＰ３４２フタアリ"</f>
        <v>ＴＰ３４２フタアリ</v>
      </c>
      <c r="BC151" t="str">
        <f>" 335.000"</f>
        <v xml:space="preserve"> 335.000</v>
      </c>
      <c r="BD151" t="str">
        <f t="shared" si="189"/>
        <v xml:space="preserve"> 335.000</v>
      </c>
      <c r="BE151" t="str">
        <f>" 195.000"</f>
        <v xml:space="preserve"> 195.000</v>
      </c>
      <c r="BF151" t="str">
        <f>"   0.022"</f>
        <v xml:space="preserve">   0.022</v>
      </c>
      <c r="BG151" t="str">
        <f>"   2.420"</f>
        <v xml:space="preserve">   2.420</v>
      </c>
      <c r="BH151" t="str">
        <f t="shared" si="173"/>
        <v>しない</v>
      </c>
      <c r="BI151" t="str">
        <f>""</f>
        <v/>
      </c>
      <c r="BJ151" t="str">
        <f t="shared" si="198"/>
        <v>MASTER01</v>
      </c>
      <c r="BK151" t="str">
        <f t="shared" ref="BK151:BK164" si="209">"2023/01/30"</f>
        <v>2023/01/30</v>
      </c>
      <c r="BL151" t="str">
        <f t="shared" si="175"/>
        <v>NE00</v>
      </c>
      <c r="BM151" t="str">
        <f t="shared" si="176"/>
        <v>１工工務Ｇ</v>
      </c>
      <c r="BN151" t="str">
        <f t="shared" si="199"/>
        <v>46548</v>
      </c>
      <c r="BO151" t="str">
        <f t="shared" si="200"/>
        <v>長畑　玲奈</v>
      </c>
    </row>
    <row r="152" spans="1:67">
      <c r="A152" t="s">
        <v>239</v>
      </c>
      <c r="B152" t="str">
        <f>""</f>
        <v/>
      </c>
      <c r="C152" t="str">
        <f>""</f>
        <v/>
      </c>
      <c r="D152" t="s">
        <v>71</v>
      </c>
      <c r="E152" t="str">
        <f t="shared" si="162"/>
        <v>1Y</v>
      </c>
      <c r="F152" t="str">
        <f t="shared" si="163"/>
        <v>第１工場</v>
      </c>
      <c r="G152" t="str">
        <f t="shared" si="164"/>
        <v>手配</v>
      </c>
      <c r="H152" t="str">
        <f t="shared" si="165"/>
        <v>Ｐ</v>
      </c>
      <c r="I152" t="str">
        <f t="shared" si="201"/>
        <v>3880</v>
      </c>
      <c r="J152" t="str">
        <f t="shared" si="202"/>
        <v>（株）ＢｌｕＥ　Ｎｅｘｕｓ</v>
      </c>
      <c r="K152" t="str">
        <f t="shared" si="161"/>
        <v>01</v>
      </c>
      <c r="L152" t="str">
        <f t="shared" si="203"/>
        <v>デンソー　安城製作所</v>
      </c>
      <c r="M152" t="str">
        <f t="shared" si="204"/>
        <v>受代</v>
      </c>
      <c r="N152" t="str">
        <f t="shared" si="197"/>
        <v>――</v>
      </c>
      <c r="O152" t="str">
        <f t="shared" si="166"/>
        <v>Ｍ</v>
      </c>
      <c r="P152" t="str">
        <f t="shared" si="167"/>
        <v>01</v>
      </c>
      <c r="Q152" t="str">
        <f t="shared" si="168"/>
        <v>第１</v>
      </c>
      <c r="R152" t="str">
        <f t="shared" si="169"/>
        <v>1Y</v>
      </c>
      <c r="S152" t="str">
        <f t="shared" si="170"/>
        <v>安城第１工場</v>
      </c>
      <c r="T152" t="str">
        <f t="shared" si="171"/>
        <v>直接</v>
      </c>
      <c r="U152" t="str">
        <f>""</f>
        <v/>
      </c>
      <c r="V152" t="str">
        <f>""</f>
        <v/>
      </c>
      <c r="W152" t="str">
        <f>""</f>
        <v/>
      </c>
      <c r="X152">
        <v>1</v>
      </c>
      <c r="Y152">
        <v>6</v>
      </c>
      <c r="Z152">
        <v>3.3</v>
      </c>
      <c r="AA152">
        <v>2.11</v>
      </c>
      <c r="AB152">
        <v>3</v>
      </c>
      <c r="AC152">
        <v>2.11</v>
      </c>
      <c r="AD152">
        <v>2.11</v>
      </c>
      <c r="AE152">
        <v>1.1000000000000001</v>
      </c>
      <c r="AF152">
        <v>0.5</v>
      </c>
      <c r="AG152" t="str">
        <f t="shared" si="205"/>
        <v>922</v>
      </c>
      <c r="AH152" t="str">
        <f t="shared" si="206"/>
        <v>ＢｌｕＥ　Ｎｅｘｕｓ</v>
      </c>
      <c r="AI152" t="str">
        <f>"001"</f>
        <v>001</v>
      </c>
      <c r="AJ152" t="str">
        <f>"I1-3"</f>
        <v>I1-3</v>
      </c>
      <c r="AK152" t="str">
        <f>"50408"</f>
        <v>50408</v>
      </c>
      <c r="AL152" t="str">
        <f t="shared" si="207"/>
        <v>6402</v>
      </c>
      <c r="AM152" t="str">
        <f t="shared" si="208"/>
        <v>ﾜｲﾔ- T/M</v>
      </c>
      <c r="AN152" t="str">
        <f>"018"</f>
        <v>018</v>
      </c>
      <c r="AO152" t="str">
        <f>"TP-342 ﾊﾝﾖｳ"</f>
        <v>TP-342 ﾊﾝﾖｳ</v>
      </c>
      <c r="AP152">
        <v>8</v>
      </c>
      <c r="AQ152" t="str">
        <f>""</f>
        <v/>
      </c>
      <c r="AR152" t="str">
        <f>""</f>
        <v/>
      </c>
      <c r="AS152" t="str">
        <f>""</f>
        <v/>
      </c>
      <c r="AT152" t="str">
        <f t="shared" si="172"/>
        <v>00</v>
      </c>
      <c r="AU152">
        <v>0.5</v>
      </c>
      <c r="AV152" t="str">
        <f>""</f>
        <v/>
      </c>
      <c r="AW152" t="str">
        <f>"08"</f>
        <v>08</v>
      </c>
      <c r="AX152" t="str">
        <f>"専用"</f>
        <v>専用</v>
      </c>
      <c r="AY152" t="str">
        <f>"01"</f>
        <v>01</v>
      </c>
      <c r="AZ152" t="str">
        <f>"後補充"</f>
        <v>後補充</v>
      </c>
      <c r="BA152" t="str">
        <f>""</f>
        <v/>
      </c>
      <c r="BB152" t="str">
        <f>"ＴＰ３４２フタアリ"</f>
        <v>ＴＰ３４２フタアリ</v>
      </c>
      <c r="BC152" t="str">
        <f>" 503.000"</f>
        <v xml:space="preserve"> 503.000</v>
      </c>
      <c r="BD152" t="str">
        <f t="shared" si="189"/>
        <v xml:space="preserve"> 335.000</v>
      </c>
      <c r="BE152" t="str">
        <f>" 216.000"</f>
        <v xml:space="preserve"> 216.000</v>
      </c>
      <c r="BF152" t="str">
        <f>"   0.036"</f>
        <v xml:space="preserve">   0.036</v>
      </c>
      <c r="BG152" t="str">
        <f>"   4.270"</f>
        <v xml:space="preserve">   4.270</v>
      </c>
      <c r="BH152" t="str">
        <f t="shared" si="173"/>
        <v>しない</v>
      </c>
      <c r="BI152" t="str">
        <f>""</f>
        <v/>
      </c>
      <c r="BJ152" t="str">
        <f t="shared" si="198"/>
        <v>MASTER01</v>
      </c>
      <c r="BK152" t="str">
        <f t="shared" si="209"/>
        <v>2023/01/30</v>
      </c>
      <c r="BL152" t="str">
        <f t="shared" si="175"/>
        <v>NE00</v>
      </c>
      <c r="BM152" t="str">
        <f t="shared" si="176"/>
        <v>１工工務Ｇ</v>
      </c>
      <c r="BN152" t="str">
        <f t="shared" si="199"/>
        <v>46548</v>
      </c>
      <c r="BO152" t="str">
        <f t="shared" si="200"/>
        <v>長畑　玲奈</v>
      </c>
    </row>
    <row r="153" spans="1:67">
      <c r="A153" t="s">
        <v>240</v>
      </c>
      <c r="B153" t="str">
        <f>""</f>
        <v/>
      </c>
      <c r="C153" t="str">
        <f>""</f>
        <v/>
      </c>
      <c r="D153" t="s">
        <v>71</v>
      </c>
      <c r="E153" t="str">
        <f t="shared" si="162"/>
        <v>1Y</v>
      </c>
      <c r="F153" t="str">
        <f t="shared" si="163"/>
        <v>第１工場</v>
      </c>
      <c r="G153" t="str">
        <f t="shared" si="164"/>
        <v>手配</v>
      </c>
      <c r="H153" t="str">
        <f t="shared" si="165"/>
        <v>Ｐ</v>
      </c>
      <c r="I153" t="str">
        <f t="shared" si="201"/>
        <v>3880</v>
      </c>
      <c r="J153" t="str">
        <f t="shared" si="202"/>
        <v>（株）ＢｌｕＥ　Ｎｅｘｕｓ</v>
      </c>
      <c r="K153" t="str">
        <f t="shared" si="161"/>
        <v>01</v>
      </c>
      <c r="L153" t="str">
        <f t="shared" si="203"/>
        <v>デンソー　安城製作所</v>
      </c>
      <c r="M153" t="str">
        <f t="shared" si="204"/>
        <v>受代</v>
      </c>
      <c r="N153" t="str">
        <f t="shared" si="197"/>
        <v>――</v>
      </c>
      <c r="O153" t="str">
        <f t="shared" si="166"/>
        <v>Ｍ</v>
      </c>
      <c r="P153" t="str">
        <f t="shared" si="167"/>
        <v>01</v>
      </c>
      <c r="Q153" t="str">
        <f t="shared" si="168"/>
        <v>第１</v>
      </c>
      <c r="R153" t="str">
        <f t="shared" si="169"/>
        <v>1Y</v>
      </c>
      <c r="S153" t="str">
        <f t="shared" si="170"/>
        <v>安城第１工場</v>
      </c>
      <c r="T153" t="str">
        <f t="shared" si="171"/>
        <v>直接</v>
      </c>
      <c r="U153" t="str">
        <f>""</f>
        <v/>
      </c>
      <c r="V153" t="str">
        <f>""</f>
        <v/>
      </c>
      <c r="W153" t="str">
        <f>""</f>
        <v/>
      </c>
      <c r="X153">
        <v>1</v>
      </c>
      <c r="Y153">
        <v>6</v>
      </c>
      <c r="Z153">
        <v>3.3</v>
      </c>
      <c r="AA153">
        <v>2.11</v>
      </c>
      <c r="AB153">
        <v>3</v>
      </c>
      <c r="AC153">
        <v>2.11</v>
      </c>
      <c r="AD153">
        <v>2.11</v>
      </c>
      <c r="AE153">
        <v>1.1000000000000001</v>
      </c>
      <c r="AF153">
        <v>0.5</v>
      </c>
      <c r="AG153" t="str">
        <f t="shared" si="205"/>
        <v>922</v>
      </c>
      <c r="AH153" t="str">
        <f t="shared" si="206"/>
        <v>ＢｌｕＥ　Ｎｅｘｕｓ</v>
      </c>
      <c r="AI153" t="str">
        <f>"004"</f>
        <v>004</v>
      </c>
      <c r="AJ153" t="str">
        <f>"I1-5"</f>
        <v>I1-5</v>
      </c>
      <c r="AK153" t="str">
        <f>"50411"</f>
        <v>50411</v>
      </c>
      <c r="AL153" t="str">
        <f t="shared" si="207"/>
        <v>6402</v>
      </c>
      <c r="AM153" t="str">
        <f t="shared" si="208"/>
        <v>ﾜｲﾔ- T/M</v>
      </c>
      <c r="AN153" t="str">
        <f>"018"</f>
        <v>018</v>
      </c>
      <c r="AO153" t="str">
        <f>"TP-342 ﾊﾝﾖｳ"</f>
        <v>TP-342 ﾊﾝﾖｳ</v>
      </c>
      <c r="AP153">
        <v>8</v>
      </c>
      <c r="AQ153" t="str">
        <f>""</f>
        <v/>
      </c>
      <c r="AR153" t="str">
        <f>""</f>
        <v/>
      </c>
      <c r="AS153" t="str">
        <f>""</f>
        <v/>
      </c>
      <c r="AT153" t="str">
        <f t="shared" si="172"/>
        <v>00</v>
      </c>
      <c r="AU153">
        <v>0.5</v>
      </c>
      <c r="AV153" t="str">
        <f>""</f>
        <v/>
      </c>
      <c r="AW153" t="str">
        <f>"08"</f>
        <v>08</v>
      </c>
      <c r="AX153" t="str">
        <f>"専用"</f>
        <v>専用</v>
      </c>
      <c r="AY153" t="str">
        <f>"01"</f>
        <v>01</v>
      </c>
      <c r="AZ153" t="str">
        <f>"後補充"</f>
        <v>後補充</v>
      </c>
      <c r="BA153" t="str">
        <f>""</f>
        <v/>
      </c>
      <c r="BB153" t="str">
        <f>"ＴＰ３４２フタアリ"</f>
        <v>ＴＰ３４２フタアリ</v>
      </c>
      <c r="BC153" t="str">
        <f>" 503.000"</f>
        <v xml:space="preserve"> 503.000</v>
      </c>
      <c r="BD153" t="str">
        <f t="shared" si="189"/>
        <v xml:space="preserve"> 335.000</v>
      </c>
      <c r="BE153" t="str">
        <f>" 216.000"</f>
        <v xml:space="preserve"> 216.000</v>
      </c>
      <c r="BF153" t="str">
        <f>"   0.036"</f>
        <v xml:space="preserve">   0.036</v>
      </c>
      <c r="BG153" t="str">
        <f>"   4.310"</f>
        <v xml:space="preserve">   4.310</v>
      </c>
      <c r="BH153" t="str">
        <f t="shared" si="173"/>
        <v>しない</v>
      </c>
      <c r="BI153" t="str">
        <f>""</f>
        <v/>
      </c>
      <c r="BJ153" t="str">
        <f t="shared" si="198"/>
        <v>MASTER01</v>
      </c>
      <c r="BK153" t="str">
        <f t="shared" si="209"/>
        <v>2023/01/30</v>
      </c>
      <c r="BL153" t="str">
        <f t="shared" si="175"/>
        <v>NE00</v>
      </c>
      <c r="BM153" t="str">
        <f t="shared" si="176"/>
        <v>１工工務Ｇ</v>
      </c>
      <c r="BN153" t="str">
        <f t="shared" si="199"/>
        <v>46548</v>
      </c>
      <c r="BO153" t="str">
        <f t="shared" si="200"/>
        <v>長畑　玲奈</v>
      </c>
    </row>
    <row r="154" spans="1:67">
      <c r="A154" t="s">
        <v>241</v>
      </c>
      <c r="B154" t="str">
        <f>""</f>
        <v/>
      </c>
      <c r="C154" t="str">
        <f>""</f>
        <v/>
      </c>
      <c r="D154" t="s">
        <v>71</v>
      </c>
      <c r="E154" t="str">
        <f t="shared" si="162"/>
        <v>1Y</v>
      </c>
      <c r="F154" t="str">
        <f t="shared" si="163"/>
        <v>第１工場</v>
      </c>
      <c r="G154" t="str">
        <f t="shared" si="164"/>
        <v>手配</v>
      </c>
      <c r="H154" t="str">
        <f t="shared" si="165"/>
        <v>Ｐ</v>
      </c>
      <c r="I154" t="str">
        <f t="shared" si="201"/>
        <v>3880</v>
      </c>
      <c r="J154" t="str">
        <f t="shared" si="202"/>
        <v>（株）ＢｌｕＥ　Ｎｅｘｕｓ</v>
      </c>
      <c r="K154" t="str">
        <f t="shared" si="161"/>
        <v>01</v>
      </c>
      <c r="L154" t="str">
        <f t="shared" si="203"/>
        <v>デンソー　安城製作所</v>
      </c>
      <c r="M154" t="str">
        <f t="shared" si="204"/>
        <v>受代</v>
      </c>
      <c r="N154" t="str">
        <f t="shared" si="197"/>
        <v>――</v>
      </c>
      <c r="O154" t="str">
        <f t="shared" si="166"/>
        <v>Ｍ</v>
      </c>
      <c r="P154" t="str">
        <f t="shared" si="167"/>
        <v>01</v>
      </c>
      <c r="Q154" t="str">
        <f t="shared" si="168"/>
        <v>第１</v>
      </c>
      <c r="R154" t="str">
        <f t="shared" si="169"/>
        <v>1Y</v>
      </c>
      <c r="S154" t="str">
        <f t="shared" si="170"/>
        <v>安城第１工場</v>
      </c>
      <c r="T154" t="str">
        <f t="shared" si="171"/>
        <v>直接</v>
      </c>
      <c r="U154" t="str">
        <f>""</f>
        <v/>
      </c>
      <c r="V154" t="str">
        <f>""</f>
        <v/>
      </c>
      <c r="W154" t="str">
        <f>""</f>
        <v/>
      </c>
      <c r="X154">
        <v>1</v>
      </c>
      <c r="Y154">
        <v>6</v>
      </c>
      <c r="Z154">
        <v>3.3</v>
      </c>
      <c r="AA154">
        <v>2.11</v>
      </c>
      <c r="AB154">
        <v>3</v>
      </c>
      <c r="AC154">
        <v>2.11</v>
      </c>
      <c r="AD154">
        <v>2.11</v>
      </c>
      <c r="AE154">
        <v>1.1000000000000001</v>
      </c>
      <c r="AF154">
        <v>0.5</v>
      </c>
      <c r="AG154" t="str">
        <f t="shared" si="205"/>
        <v>922</v>
      </c>
      <c r="AH154" t="str">
        <f t="shared" si="206"/>
        <v>ＢｌｕＥ　Ｎｅｘｕｓ</v>
      </c>
      <c r="AI154" t="str">
        <f>"006"</f>
        <v>006</v>
      </c>
      <c r="AJ154" t="str">
        <f>"I1-4"</f>
        <v>I1-4</v>
      </c>
      <c r="AK154" t="str">
        <f>"30404"</f>
        <v>30404</v>
      </c>
      <c r="AL154" t="str">
        <f t="shared" si="207"/>
        <v>6402</v>
      </c>
      <c r="AM154" t="str">
        <f t="shared" si="208"/>
        <v>ﾜｲﾔ- T/M</v>
      </c>
      <c r="AN154" t="str">
        <f>"016"</f>
        <v>016</v>
      </c>
      <c r="AO154" t="str">
        <f>"TP-332 ﾊﾝﾖｳ"</f>
        <v>TP-332 ﾊﾝﾖｳ</v>
      </c>
      <c r="AP154">
        <v>6</v>
      </c>
      <c r="AQ154" t="str">
        <f>""</f>
        <v/>
      </c>
      <c r="AR154" t="str">
        <f>""</f>
        <v/>
      </c>
      <c r="AS154" t="str">
        <f>""</f>
        <v/>
      </c>
      <c r="AT154" t="str">
        <f t="shared" si="172"/>
        <v>00</v>
      </c>
      <c r="AU154">
        <v>0.5</v>
      </c>
      <c r="AV154" t="str">
        <f>""</f>
        <v/>
      </c>
      <c r="AW154" t="str">
        <f>"08"</f>
        <v>08</v>
      </c>
      <c r="AX154" t="str">
        <f>"専用"</f>
        <v>専用</v>
      </c>
      <c r="AY154" t="str">
        <f>"01"</f>
        <v>01</v>
      </c>
      <c r="AZ154" t="str">
        <f>"後補充"</f>
        <v>後補充</v>
      </c>
      <c r="BA154" t="str">
        <f>""</f>
        <v/>
      </c>
      <c r="BB154" t="str">
        <f>"ＴＰ３３２フタアリ"</f>
        <v>ＴＰ３３２フタアリ</v>
      </c>
      <c r="BC154" t="str">
        <f>" 335.000"</f>
        <v xml:space="preserve"> 335.000</v>
      </c>
      <c r="BD154" t="str">
        <f t="shared" si="189"/>
        <v xml:space="preserve"> 335.000</v>
      </c>
      <c r="BE154" t="str">
        <f>" 216.000"</f>
        <v xml:space="preserve"> 216.000</v>
      </c>
      <c r="BF154" t="str">
        <f>"   0.024"</f>
        <v xml:space="preserve">   0.024</v>
      </c>
      <c r="BG154" t="str">
        <f>"   4.310"</f>
        <v xml:space="preserve">   4.310</v>
      </c>
      <c r="BH154" t="str">
        <f t="shared" si="173"/>
        <v>しない</v>
      </c>
      <c r="BI154" t="str">
        <f>""</f>
        <v/>
      </c>
      <c r="BJ154" t="str">
        <f t="shared" si="198"/>
        <v>MASTER01</v>
      </c>
      <c r="BK154" t="str">
        <f t="shared" si="209"/>
        <v>2023/01/30</v>
      </c>
      <c r="BL154" t="str">
        <f t="shared" si="175"/>
        <v>NE00</v>
      </c>
      <c r="BM154" t="str">
        <f t="shared" si="176"/>
        <v>１工工務Ｇ</v>
      </c>
      <c r="BN154" t="str">
        <f t="shared" si="199"/>
        <v>46548</v>
      </c>
      <c r="BO154" t="str">
        <f t="shared" si="200"/>
        <v>長畑　玲奈</v>
      </c>
    </row>
    <row r="155" spans="1:67">
      <c r="A155" t="s">
        <v>242</v>
      </c>
      <c r="B155" t="str">
        <f>""</f>
        <v/>
      </c>
      <c r="C155" t="str">
        <f>""</f>
        <v/>
      </c>
      <c r="D155" t="s">
        <v>71</v>
      </c>
      <c r="E155" t="str">
        <f t="shared" si="162"/>
        <v>1Y</v>
      </c>
      <c r="F155" t="str">
        <f t="shared" si="163"/>
        <v>第１工場</v>
      </c>
      <c r="G155" t="str">
        <f t="shared" si="164"/>
        <v>手配</v>
      </c>
      <c r="H155" t="str">
        <f t="shared" si="165"/>
        <v>Ｐ</v>
      </c>
      <c r="I155" t="str">
        <f t="shared" si="201"/>
        <v>3880</v>
      </c>
      <c r="J155" t="str">
        <f t="shared" si="202"/>
        <v>（株）ＢｌｕＥ　Ｎｅｘｕｓ</v>
      </c>
      <c r="K155" t="str">
        <f t="shared" si="161"/>
        <v>01</v>
      </c>
      <c r="L155" t="str">
        <f t="shared" si="203"/>
        <v>デンソー　安城製作所</v>
      </c>
      <c r="M155" t="str">
        <f t="shared" si="204"/>
        <v>受代</v>
      </c>
      <c r="N155" t="str">
        <f t="shared" si="197"/>
        <v>――</v>
      </c>
      <c r="O155" t="str">
        <f t="shared" si="166"/>
        <v>Ｍ</v>
      </c>
      <c r="P155" t="str">
        <f t="shared" si="167"/>
        <v>01</v>
      </c>
      <c r="Q155" t="str">
        <f t="shared" si="168"/>
        <v>第１</v>
      </c>
      <c r="R155" t="str">
        <f t="shared" si="169"/>
        <v>1Y</v>
      </c>
      <c r="S155" t="str">
        <f t="shared" si="170"/>
        <v>安城第１工場</v>
      </c>
      <c r="T155" t="str">
        <f t="shared" si="171"/>
        <v>直接</v>
      </c>
      <c r="U155" t="str">
        <f>""</f>
        <v/>
      </c>
      <c r="V155" t="str">
        <f>""</f>
        <v/>
      </c>
      <c r="W155" t="str">
        <f>""</f>
        <v/>
      </c>
      <c r="X155">
        <v>1</v>
      </c>
      <c r="Y155">
        <v>6</v>
      </c>
      <c r="Z155">
        <v>3.3</v>
      </c>
      <c r="AA155">
        <v>2.11</v>
      </c>
      <c r="AB155">
        <v>3</v>
      </c>
      <c r="AC155">
        <v>2.11</v>
      </c>
      <c r="AD155">
        <v>2.11</v>
      </c>
      <c r="AE155">
        <v>1.1000000000000001</v>
      </c>
      <c r="AF155">
        <v>0.5</v>
      </c>
      <c r="AG155" t="str">
        <f t="shared" si="205"/>
        <v>922</v>
      </c>
      <c r="AH155" t="str">
        <f t="shared" si="206"/>
        <v>ＢｌｕＥ　Ｎｅｘｕｓ</v>
      </c>
      <c r="AI155" t="str">
        <f>"009"</f>
        <v>009</v>
      </c>
      <c r="AJ155" t="str">
        <f>"I1-6"</f>
        <v>I1-6</v>
      </c>
      <c r="AK155" t="str">
        <f>"30405"</f>
        <v>30405</v>
      </c>
      <c r="AL155" t="str">
        <f t="shared" si="207"/>
        <v>6402</v>
      </c>
      <c r="AM155" t="str">
        <f t="shared" si="208"/>
        <v>ﾜｲﾔ- T/M</v>
      </c>
      <c r="AN155" t="str">
        <f>"016"</f>
        <v>016</v>
      </c>
      <c r="AO155" t="str">
        <f>"TP-332 ﾊﾝﾖｳ"</f>
        <v>TP-332 ﾊﾝﾖｳ</v>
      </c>
      <c r="AP155">
        <v>6</v>
      </c>
      <c r="AQ155" t="str">
        <f>""</f>
        <v/>
      </c>
      <c r="AR155" t="str">
        <f>""</f>
        <v/>
      </c>
      <c r="AS155" t="str">
        <f>""</f>
        <v/>
      </c>
      <c r="AT155" t="str">
        <f t="shared" si="172"/>
        <v>00</v>
      </c>
      <c r="AU155">
        <v>0.5</v>
      </c>
      <c r="AV155" t="str">
        <f>""</f>
        <v/>
      </c>
      <c r="AW155" t="str">
        <f>"08"</f>
        <v>08</v>
      </c>
      <c r="AX155" t="str">
        <f>"専用"</f>
        <v>専用</v>
      </c>
      <c r="AY155" t="str">
        <f>"01"</f>
        <v>01</v>
      </c>
      <c r="AZ155" t="str">
        <f>"後補充"</f>
        <v>後補充</v>
      </c>
      <c r="BA155" t="str">
        <f>""</f>
        <v/>
      </c>
      <c r="BB155" t="str">
        <f>"ＴＰ３３２フタアリ"</f>
        <v>ＴＰ３３２フタアリ</v>
      </c>
      <c r="BC155" t="str">
        <f>" 335.000"</f>
        <v xml:space="preserve"> 335.000</v>
      </c>
      <c r="BD155" t="str">
        <f t="shared" ref="BD155:BD165" si="210">" 335.000"</f>
        <v xml:space="preserve"> 335.000</v>
      </c>
      <c r="BE155" t="str">
        <f>" 216.000"</f>
        <v xml:space="preserve"> 216.000</v>
      </c>
      <c r="BF155" t="str">
        <f>"   0.024"</f>
        <v xml:space="preserve">   0.024</v>
      </c>
      <c r="BG155" t="str">
        <f>"   4.310"</f>
        <v xml:space="preserve">   4.310</v>
      </c>
      <c r="BH155" t="str">
        <f t="shared" si="173"/>
        <v>しない</v>
      </c>
      <c r="BI155" t="str">
        <f>""</f>
        <v/>
      </c>
      <c r="BJ155" t="str">
        <f t="shared" si="198"/>
        <v>MASTER01</v>
      </c>
      <c r="BK155" t="str">
        <f t="shared" si="209"/>
        <v>2023/01/30</v>
      </c>
      <c r="BL155" t="str">
        <f t="shared" si="175"/>
        <v>NE00</v>
      </c>
      <c r="BM155" t="str">
        <f t="shared" si="176"/>
        <v>１工工務Ｇ</v>
      </c>
      <c r="BN155" t="str">
        <f t="shared" si="199"/>
        <v>46548</v>
      </c>
      <c r="BO155" t="str">
        <f t="shared" si="200"/>
        <v>長畑　玲奈</v>
      </c>
    </row>
    <row r="156" spans="1:67">
      <c r="A156" t="s">
        <v>243</v>
      </c>
      <c r="B156" t="str">
        <f>""</f>
        <v/>
      </c>
      <c r="C156" t="str">
        <f>""</f>
        <v/>
      </c>
      <c r="D156" t="s">
        <v>71</v>
      </c>
      <c r="E156" t="str">
        <f t="shared" si="162"/>
        <v>1Y</v>
      </c>
      <c r="F156" t="str">
        <f t="shared" si="163"/>
        <v>第１工場</v>
      </c>
      <c r="G156" t="str">
        <f t="shared" si="164"/>
        <v>手配</v>
      </c>
      <c r="H156" t="str">
        <f t="shared" si="165"/>
        <v>Ｐ</v>
      </c>
      <c r="I156" t="str">
        <f t="shared" si="201"/>
        <v>3880</v>
      </c>
      <c r="J156" t="str">
        <f t="shared" si="202"/>
        <v>（株）ＢｌｕＥ　Ｎｅｘｕｓ</v>
      </c>
      <c r="K156" t="str">
        <f t="shared" si="161"/>
        <v>01</v>
      </c>
      <c r="L156" t="str">
        <f t="shared" si="203"/>
        <v>デンソー　安城製作所</v>
      </c>
      <c r="M156" t="str">
        <f t="shared" si="204"/>
        <v>受代</v>
      </c>
      <c r="N156" t="str">
        <f t="shared" si="197"/>
        <v>――</v>
      </c>
      <c r="O156" t="str">
        <f t="shared" si="166"/>
        <v>Ｍ</v>
      </c>
      <c r="P156" t="str">
        <f t="shared" si="167"/>
        <v>01</v>
      </c>
      <c r="Q156" t="str">
        <f t="shared" si="168"/>
        <v>第１</v>
      </c>
      <c r="R156" t="str">
        <f t="shared" si="169"/>
        <v>1Y</v>
      </c>
      <c r="S156" t="str">
        <f t="shared" si="170"/>
        <v>安城第１工場</v>
      </c>
      <c r="T156" t="str">
        <f t="shared" si="171"/>
        <v>直接</v>
      </c>
      <c r="U156" t="str">
        <f>""</f>
        <v/>
      </c>
      <c r="V156" t="str">
        <f>""</f>
        <v/>
      </c>
      <c r="W156" t="str">
        <f>""</f>
        <v/>
      </c>
      <c r="X156">
        <v>1</v>
      </c>
      <c r="Y156">
        <v>6</v>
      </c>
      <c r="Z156">
        <v>3.3</v>
      </c>
      <c r="AA156">
        <v>2.11</v>
      </c>
      <c r="AB156">
        <v>3</v>
      </c>
      <c r="AC156">
        <v>2.11</v>
      </c>
      <c r="AD156">
        <v>2.11</v>
      </c>
      <c r="AE156">
        <v>1.1000000000000001</v>
      </c>
      <c r="AF156">
        <v>0.5</v>
      </c>
      <c r="AG156" t="str">
        <f t="shared" si="205"/>
        <v>922</v>
      </c>
      <c r="AH156" t="str">
        <f t="shared" si="206"/>
        <v>ＢｌｕＥ　Ｎｅｘｕｓ</v>
      </c>
      <c r="AI156" t="str">
        <f>"012"</f>
        <v>012</v>
      </c>
      <c r="AJ156" t="str">
        <f>"KARI"</f>
        <v>KARI</v>
      </c>
      <c r="AK156" t="str">
        <f>"KARI"</f>
        <v>KARI</v>
      </c>
      <c r="AL156" t="str">
        <f t="shared" si="207"/>
        <v>6402</v>
      </c>
      <c r="AM156" t="str">
        <f t="shared" si="208"/>
        <v>ﾜｲﾔ- T/M</v>
      </c>
      <c r="AN156" t="str">
        <f>"016"</f>
        <v>016</v>
      </c>
      <c r="AO156" t="str">
        <f>"TP-332 ﾊﾝﾖｳ"</f>
        <v>TP-332 ﾊﾝﾖｳ</v>
      </c>
      <c r="AP156">
        <v>6</v>
      </c>
      <c r="AQ156" t="str">
        <f>""</f>
        <v/>
      </c>
      <c r="AR156" t="str">
        <f>""</f>
        <v/>
      </c>
      <c r="AS156" t="str">
        <f>""</f>
        <v/>
      </c>
      <c r="AT156" t="str">
        <f t="shared" si="172"/>
        <v>00</v>
      </c>
      <c r="AU156">
        <v>0.5</v>
      </c>
      <c r="AV156" t="str">
        <f>""</f>
        <v/>
      </c>
      <c r="AW156" t="str">
        <f>"08"</f>
        <v>08</v>
      </c>
      <c r="AX156" t="str">
        <f>"専用"</f>
        <v>専用</v>
      </c>
      <c r="AY156" t="str">
        <f>""</f>
        <v/>
      </c>
      <c r="AZ156" t="str">
        <f>""</f>
        <v/>
      </c>
      <c r="BA156" t="str">
        <f>""</f>
        <v/>
      </c>
      <c r="BB156" t="str">
        <f>"ＴＰ３３２フタアリ"</f>
        <v>ＴＰ３３２フタアリ</v>
      </c>
      <c r="BC156" t="str">
        <f>" 335.000"</f>
        <v xml:space="preserve"> 335.000</v>
      </c>
      <c r="BD156" t="str">
        <f t="shared" si="210"/>
        <v xml:space="preserve"> 335.000</v>
      </c>
      <c r="BE156" t="str">
        <f>" 216.000"</f>
        <v xml:space="preserve"> 216.000</v>
      </c>
      <c r="BF156" t="str">
        <f>"   0.024"</f>
        <v xml:space="preserve">   0.024</v>
      </c>
      <c r="BG156" t="str">
        <f>"   4.310"</f>
        <v xml:space="preserve">   4.310</v>
      </c>
      <c r="BH156" t="str">
        <f t="shared" si="173"/>
        <v>しない</v>
      </c>
      <c r="BI156" t="str">
        <f>""</f>
        <v/>
      </c>
      <c r="BJ156" t="str">
        <f t="shared" si="198"/>
        <v>MASTER01</v>
      </c>
      <c r="BK156" t="str">
        <f t="shared" si="209"/>
        <v>2023/01/30</v>
      </c>
      <c r="BL156" t="str">
        <f t="shared" si="175"/>
        <v>NE00</v>
      </c>
      <c r="BM156" t="str">
        <f t="shared" si="176"/>
        <v>１工工務Ｇ</v>
      </c>
      <c r="BN156" t="str">
        <f t="shared" si="199"/>
        <v>46548</v>
      </c>
      <c r="BO156" t="str">
        <f t="shared" si="200"/>
        <v>長畑　玲奈</v>
      </c>
    </row>
    <row r="157" spans="1:67">
      <c r="A157" t="s">
        <v>244</v>
      </c>
      <c r="B157" t="str">
        <f>""</f>
        <v/>
      </c>
      <c r="C157" t="str">
        <f>""</f>
        <v/>
      </c>
      <c r="D157" t="s">
        <v>72</v>
      </c>
      <c r="E157" t="str">
        <f t="shared" si="162"/>
        <v>1Y</v>
      </c>
      <c r="F157" t="str">
        <f t="shared" si="163"/>
        <v>第１工場</v>
      </c>
      <c r="G157" t="str">
        <f t="shared" si="164"/>
        <v>手配</v>
      </c>
      <c r="H157" t="str">
        <f t="shared" si="165"/>
        <v>Ｐ</v>
      </c>
      <c r="I157" t="str">
        <f t="shared" si="201"/>
        <v>3880</v>
      </c>
      <c r="J157" t="str">
        <f t="shared" si="202"/>
        <v>（株）ＢｌｕＥ　Ｎｅｘｕｓ</v>
      </c>
      <c r="K157" t="str">
        <f t="shared" si="161"/>
        <v>01</v>
      </c>
      <c r="L157" t="str">
        <f t="shared" si="203"/>
        <v>デンソー　安城製作所</v>
      </c>
      <c r="M157" t="str">
        <f t="shared" si="204"/>
        <v>受代</v>
      </c>
      <c r="N157" t="str">
        <f t="shared" si="197"/>
        <v>――</v>
      </c>
      <c r="O157" t="str">
        <f t="shared" si="166"/>
        <v>Ｍ</v>
      </c>
      <c r="P157" t="str">
        <f t="shared" si="167"/>
        <v>01</v>
      </c>
      <c r="Q157" t="str">
        <f t="shared" si="168"/>
        <v>第１</v>
      </c>
      <c r="R157" t="str">
        <f t="shared" si="169"/>
        <v>1Y</v>
      </c>
      <c r="S157" t="str">
        <f t="shared" si="170"/>
        <v>安城第１工場</v>
      </c>
      <c r="T157" t="str">
        <f t="shared" si="171"/>
        <v>直接</v>
      </c>
      <c r="U157" t="str">
        <f>""</f>
        <v/>
      </c>
      <c r="V157" t="str">
        <f>""</f>
        <v/>
      </c>
      <c r="W157" t="str">
        <f>""</f>
        <v/>
      </c>
      <c r="X157">
        <v>1</v>
      </c>
      <c r="Y157">
        <v>6</v>
      </c>
      <c r="Z157">
        <v>3.3</v>
      </c>
      <c r="AA157">
        <v>2.09</v>
      </c>
      <c r="AB157">
        <v>3</v>
      </c>
      <c r="AC157">
        <v>2.09</v>
      </c>
      <c r="AD157">
        <v>2.09</v>
      </c>
      <c r="AE157">
        <v>1.1000000000000001</v>
      </c>
      <c r="AF157">
        <v>0.5</v>
      </c>
      <c r="AG157" t="str">
        <f t="shared" si="205"/>
        <v>922</v>
      </c>
      <c r="AH157" t="str">
        <f t="shared" si="206"/>
        <v>ＢｌｕＥ　Ｎｅｘｕｓ</v>
      </c>
      <c r="AI157" t="str">
        <f>"014"</f>
        <v>014</v>
      </c>
      <c r="AJ157" t="str">
        <f>""</f>
        <v/>
      </c>
      <c r="AK157" t="str">
        <f>""</f>
        <v/>
      </c>
      <c r="AL157" t="str">
        <f t="shared" ref="AL157:AL162" si="211">"9204"</f>
        <v>9204</v>
      </c>
      <c r="AM157" t="s">
        <v>73</v>
      </c>
      <c r="AN157" t="str">
        <f t="shared" ref="AN157:AN162" si="212">"057"</f>
        <v>057</v>
      </c>
      <c r="AO157" t="str">
        <f t="shared" ref="AO157:AO162" si="213">"TP-341-5 ﾊﾝﾖｳ"</f>
        <v>TP-341-5 ﾊﾝﾖｳ</v>
      </c>
      <c r="AP157">
        <v>1</v>
      </c>
      <c r="AQ157" t="str">
        <f>""</f>
        <v/>
      </c>
      <c r="AR157" t="str">
        <f>""</f>
        <v/>
      </c>
      <c r="AS157" t="str">
        <f>""</f>
        <v/>
      </c>
      <c r="AT157" t="str">
        <f t="shared" si="172"/>
        <v>00</v>
      </c>
      <c r="AU157">
        <v>0.5</v>
      </c>
      <c r="AV157" t="str">
        <f>""</f>
        <v/>
      </c>
      <c r="AW157" t="str">
        <f>""</f>
        <v/>
      </c>
      <c r="AX157" t="str">
        <f>""</f>
        <v/>
      </c>
      <c r="AY157" t="str">
        <f>""</f>
        <v/>
      </c>
      <c r="AZ157" t="str">
        <f>""</f>
        <v/>
      </c>
      <c r="BA157" t="str">
        <f>""</f>
        <v/>
      </c>
      <c r="BB157" t="str">
        <f>""</f>
        <v/>
      </c>
      <c r="BC157" t="str">
        <f t="shared" ref="BC157:BC162" si="214">" 503.000"</f>
        <v xml:space="preserve"> 503.000</v>
      </c>
      <c r="BD157" t="str">
        <f t="shared" si="210"/>
        <v xml:space="preserve"> 335.000</v>
      </c>
      <c r="BE157" t="str">
        <f>" 149.000"</f>
        <v xml:space="preserve"> 149.000</v>
      </c>
      <c r="BF157" t="str">
        <f>"   0.025"</f>
        <v xml:space="preserve">   0.025</v>
      </c>
      <c r="BG157" t="str">
        <f>"   6.760"</f>
        <v xml:space="preserve">   6.760</v>
      </c>
      <c r="BH157" t="str">
        <f t="shared" si="173"/>
        <v>しない</v>
      </c>
      <c r="BI157" t="str">
        <f>""</f>
        <v/>
      </c>
      <c r="BJ157" t="str">
        <f t="shared" si="198"/>
        <v>MASTER01</v>
      </c>
      <c r="BK157" t="str">
        <f t="shared" si="209"/>
        <v>2023/01/30</v>
      </c>
      <c r="BL157" t="str">
        <f t="shared" si="175"/>
        <v>NE00</v>
      </c>
      <c r="BM157" t="str">
        <f t="shared" si="176"/>
        <v>１工工務Ｇ</v>
      </c>
      <c r="BN157" t="str">
        <f t="shared" si="199"/>
        <v>46548</v>
      </c>
      <c r="BO157" t="str">
        <f t="shared" si="200"/>
        <v>長畑　玲奈</v>
      </c>
    </row>
    <row r="158" spans="1:67">
      <c r="A158" t="s">
        <v>245</v>
      </c>
      <c r="B158" t="str">
        <f>""</f>
        <v/>
      </c>
      <c r="C158" t="str">
        <f>""</f>
        <v/>
      </c>
      <c r="D158" t="s">
        <v>72</v>
      </c>
      <c r="E158" t="str">
        <f t="shared" si="162"/>
        <v>1Y</v>
      </c>
      <c r="F158" t="str">
        <f t="shared" si="163"/>
        <v>第１工場</v>
      </c>
      <c r="G158" t="str">
        <f t="shared" si="164"/>
        <v>手配</v>
      </c>
      <c r="H158" t="str">
        <f t="shared" si="165"/>
        <v>Ｐ</v>
      </c>
      <c r="I158" t="str">
        <f t="shared" si="201"/>
        <v>3880</v>
      </c>
      <c r="J158" t="str">
        <f t="shared" si="202"/>
        <v>（株）ＢｌｕＥ　Ｎｅｘｕｓ</v>
      </c>
      <c r="K158" t="str">
        <f t="shared" si="161"/>
        <v>01</v>
      </c>
      <c r="L158" t="str">
        <f t="shared" si="203"/>
        <v>デンソー　安城製作所</v>
      </c>
      <c r="M158" t="str">
        <f t="shared" si="204"/>
        <v>受代</v>
      </c>
      <c r="N158" t="str">
        <f t="shared" ref="N158:N221" si="215">"――"</f>
        <v>――</v>
      </c>
      <c r="O158" t="str">
        <f t="shared" si="166"/>
        <v>Ｍ</v>
      </c>
      <c r="P158" t="str">
        <f t="shared" si="167"/>
        <v>01</v>
      </c>
      <c r="Q158" t="str">
        <f t="shared" si="168"/>
        <v>第１</v>
      </c>
      <c r="R158" t="str">
        <f t="shared" si="169"/>
        <v>1Y</v>
      </c>
      <c r="S158" t="str">
        <f t="shared" si="170"/>
        <v>安城第１工場</v>
      </c>
      <c r="T158" t="str">
        <f t="shared" si="171"/>
        <v>直接</v>
      </c>
      <c r="U158" t="str">
        <f>""</f>
        <v/>
      </c>
      <c r="V158" t="str">
        <f>""</f>
        <v/>
      </c>
      <c r="W158" t="str">
        <f>""</f>
        <v/>
      </c>
      <c r="X158">
        <v>1</v>
      </c>
      <c r="Y158">
        <v>6</v>
      </c>
      <c r="Z158">
        <v>3.3</v>
      </c>
      <c r="AA158">
        <v>2.09</v>
      </c>
      <c r="AB158">
        <v>3</v>
      </c>
      <c r="AC158">
        <v>2.09</v>
      </c>
      <c r="AD158">
        <v>2.09</v>
      </c>
      <c r="AE158">
        <v>1.1000000000000001</v>
      </c>
      <c r="AF158">
        <v>0.5</v>
      </c>
      <c r="AG158" t="str">
        <f t="shared" si="205"/>
        <v>922</v>
      </c>
      <c r="AH158" t="str">
        <f t="shared" si="206"/>
        <v>ＢｌｕＥ　Ｎｅｘｕｓ</v>
      </c>
      <c r="AI158" t="str">
        <f>"002"</f>
        <v>002</v>
      </c>
      <c r="AJ158" t="str">
        <f>"C-1"</f>
        <v>C-1</v>
      </c>
      <c r="AK158" t="str">
        <f>"00407"</f>
        <v>00407</v>
      </c>
      <c r="AL158" t="str">
        <f t="shared" si="211"/>
        <v>9204</v>
      </c>
      <c r="AM158" t="str">
        <f>"EVﾓｰﾀｺﾝﾄﾛｰﾙｲﾝﾊﾞｰﾀASSY"</f>
        <v>EVﾓｰﾀｺﾝﾄﾛｰﾙｲﾝﾊﾞｰﾀASSY</v>
      </c>
      <c r="AN158" t="str">
        <f t="shared" si="212"/>
        <v>057</v>
      </c>
      <c r="AO158" t="str">
        <f t="shared" si="213"/>
        <v>TP-341-5 ﾊﾝﾖｳ</v>
      </c>
      <c r="AP158">
        <v>1</v>
      </c>
      <c r="AQ158" t="str">
        <f>""</f>
        <v/>
      </c>
      <c r="AR158" t="str">
        <f>""</f>
        <v/>
      </c>
      <c r="AS158" t="str">
        <f>""</f>
        <v/>
      </c>
      <c r="AT158" t="str">
        <f t="shared" si="172"/>
        <v>00</v>
      </c>
      <c r="AU158">
        <v>0.5</v>
      </c>
      <c r="AV158" t="str">
        <f>""</f>
        <v/>
      </c>
      <c r="AW158" t="str">
        <f t="shared" ref="AW158:AW169" si="216">"08"</f>
        <v>08</v>
      </c>
      <c r="AX158" t="str">
        <f t="shared" ref="AX158:AX169" si="217">"専用"</f>
        <v>専用</v>
      </c>
      <c r="AY158" t="str">
        <f t="shared" ref="AY158:AY169" si="218">"01"</f>
        <v>01</v>
      </c>
      <c r="AZ158" t="str">
        <f t="shared" ref="AZ158:AZ169" si="219">"後補充"</f>
        <v>後補充</v>
      </c>
      <c r="BA158" t="str">
        <f>""</f>
        <v/>
      </c>
      <c r="BB158" t="str">
        <f>"ＴＰ３４１．５フタアリ"</f>
        <v>ＴＰ３４１．５フタアリ</v>
      </c>
      <c r="BC158" t="str">
        <f t="shared" si="214"/>
        <v xml:space="preserve"> 503.000</v>
      </c>
      <c r="BD158" t="str">
        <f t="shared" si="210"/>
        <v xml:space="preserve"> 335.000</v>
      </c>
      <c r="BE158" t="str">
        <f>" 170.000"</f>
        <v xml:space="preserve"> 170.000</v>
      </c>
      <c r="BF158" t="str">
        <f>"   0.029"</f>
        <v xml:space="preserve">   0.029</v>
      </c>
      <c r="BG158" t="str">
        <f>"   7.020"</f>
        <v xml:space="preserve">   7.020</v>
      </c>
      <c r="BH158" t="str">
        <f>"する"</f>
        <v>する</v>
      </c>
      <c r="BI158" t="str">
        <f>"  30"</f>
        <v xml:space="preserve">  30</v>
      </c>
      <c r="BJ158" t="str">
        <f t="shared" si="198"/>
        <v>MASTER01</v>
      </c>
      <c r="BK158" t="str">
        <f t="shared" si="209"/>
        <v>2023/01/30</v>
      </c>
      <c r="BL158" t="str">
        <f t="shared" si="175"/>
        <v>NE00</v>
      </c>
      <c r="BM158" t="str">
        <f t="shared" si="176"/>
        <v>１工工務Ｇ</v>
      </c>
      <c r="BN158" t="str">
        <f t="shared" si="199"/>
        <v>46548</v>
      </c>
      <c r="BO158" t="str">
        <f t="shared" si="200"/>
        <v>長畑　玲奈</v>
      </c>
    </row>
    <row r="159" spans="1:67">
      <c r="A159" t="s">
        <v>246</v>
      </c>
      <c r="B159" t="str">
        <f>""</f>
        <v/>
      </c>
      <c r="C159" t="str">
        <f>""</f>
        <v/>
      </c>
      <c r="D159" t="s">
        <v>72</v>
      </c>
      <c r="E159" t="str">
        <f t="shared" si="162"/>
        <v>1Y</v>
      </c>
      <c r="F159" t="str">
        <f t="shared" si="163"/>
        <v>第１工場</v>
      </c>
      <c r="G159" t="str">
        <f t="shared" si="164"/>
        <v>手配</v>
      </c>
      <c r="H159" t="str">
        <f t="shared" si="165"/>
        <v>Ｐ</v>
      </c>
      <c r="I159" t="str">
        <f t="shared" si="201"/>
        <v>3880</v>
      </c>
      <c r="J159" t="str">
        <f t="shared" si="202"/>
        <v>（株）ＢｌｕＥ　Ｎｅｘｕｓ</v>
      </c>
      <c r="K159" t="str">
        <f t="shared" si="161"/>
        <v>01</v>
      </c>
      <c r="L159" t="str">
        <f t="shared" si="203"/>
        <v>デンソー　安城製作所</v>
      </c>
      <c r="M159" t="str">
        <f t="shared" si="204"/>
        <v>受代</v>
      </c>
      <c r="N159" t="str">
        <f t="shared" si="215"/>
        <v>――</v>
      </c>
      <c r="O159" t="str">
        <f t="shared" si="166"/>
        <v>Ｍ</v>
      </c>
      <c r="P159" t="str">
        <f t="shared" si="167"/>
        <v>01</v>
      </c>
      <c r="Q159" t="str">
        <f t="shared" si="168"/>
        <v>第１</v>
      </c>
      <c r="R159" t="str">
        <f t="shared" si="169"/>
        <v>1Y</v>
      </c>
      <c r="S159" t="str">
        <f t="shared" si="170"/>
        <v>安城第１工場</v>
      </c>
      <c r="T159" t="str">
        <f t="shared" si="171"/>
        <v>直接</v>
      </c>
      <c r="U159" t="str">
        <f>""</f>
        <v/>
      </c>
      <c r="V159" t="str">
        <f>""</f>
        <v/>
      </c>
      <c r="W159" t="str">
        <f>""</f>
        <v/>
      </c>
      <c r="X159">
        <v>1</v>
      </c>
      <c r="Y159">
        <v>6</v>
      </c>
      <c r="Z159">
        <v>3.3</v>
      </c>
      <c r="AA159">
        <v>2.09</v>
      </c>
      <c r="AB159">
        <v>3</v>
      </c>
      <c r="AC159">
        <v>2.09</v>
      </c>
      <c r="AD159">
        <v>2.09</v>
      </c>
      <c r="AE159">
        <v>1.1000000000000001</v>
      </c>
      <c r="AF159">
        <v>0.5</v>
      </c>
      <c r="AG159" t="str">
        <f t="shared" si="205"/>
        <v>922</v>
      </c>
      <c r="AH159" t="str">
        <f t="shared" si="206"/>
        <v>ＢｌｕＥ　Ｎｅｘｕｓ</v>
      </c>
      <c r="AI159" t="str">
        <f>"005"</f>
        <v>005</v>
      </c>
      <c r="AJ159" t="str">
        <f>"D-1"</f>
        <v>D-1</v>
      </c>
      <c r="AK159" t="str">
        <f>"00410"</f>
        <v>00410</v>
      </c>
      <c r="AL159" t="str">
        <f t="shared" si="211"/>
        <v>9204</v>
      </c>
      <c r="AM159" t="str">
        <f>"EVﾓｰﾀｺﾝﾄﾛｰﾙｲﾝﾊﾞｰﾀASSY"</f>
        <v>EVﾓｰﾀｺﾝﾄﾛｰﾙｲﾝﾊﾞｰﾀASSY</v>
      </c>
      <c r="AN159" t="str">
        <f t="shared" si="212"/>
        <v>057</v>
      </c>
      <c r="AO159" t="str">
        <f t="shared" si="213"/>
        <v>TP-341-5 ﾊﾝﾖｳ</v>
      </c>
      <c r="AP159">
        <v>1</v>
      </c>
      <c r="AQ159" t="str">
        <f>""</f>
        <v/>
      </c>
      <c r="AR159" t="str">
        <f>""</f>
        <v/>
      </c>
      <c r="AS159" t="str">
        <f>""</f>
        <v/>
      </c>
      <c r="AT159" t="str">
        <f t="shared" si="172"/>
        <v>00</v>
      </c>
      <c r="AU159">
        <v>0.5</v>
      </c>
      <c r="AV159" t="str">
        <f>""</f>
        <v/>
      </c>
      <c r="AW159" t="str">
        <f t="shared" si="216"/>
        <v>08</v>
      </c>
      <c r="AX159" t="str">
        <f t="shared" si="217"/>
        <v>専用</v>
      </c>
      <c r="AY159" t="str">
        <f t="shared" si="218"/>
        <v>01</v>
      </c>
      <c r="AZ159" t="str">
        <f t="shared" si="219"/>
        <v>後補充</v>
      </c>
      <c r="BA159" t="str">
        <f>""</f>
        <v/>
      </c>
      <c r="BB159" t="str">
        <f>"ＴＰ３４１．５フタアリ"</f>
        <v>ＴＰ３４１．５フタアリ</v>
      </c>
      <c r="BC159" t="str">
        <f t="shared" si="214"/>
        <v xml:space="preserve"> 503.000</v>
      </c>
      <c r="BD159" t="str">
        <f t="shared" si="210"/>
        <v xml:space="preserve"> 335.000</v>
      </c>
      <c r="BE159" t="str">
        <f>" 170.000"</f>
        <v xml:space="preserve"> 170.000</v>
      </c>
      <c r="BF159" t="str">
        <f>"   0.029"</f>
        <v xml:space="preserve">   0.029</v>
      </c>
      <c r="BG159" t="str">
        <f>"   6.700"</f>
        <v xml:space="preserve">   6.700</v>
      </c>
      <c r="BH159" t="str">
        <f>"する"</f>
        <v>する</v>
      </c>
      <c r="BI159" t="str">
        <f>"  30"</f>
        <v xml:space="preserve">  30</v>
      </c>
      <c r="BJ159" t="str">
        <f t="shared" si="198"/>
        <v>MASTER01</v>
      </c>
      <c r="BK159" t="str">
        <f t="shared" si="209"/>
        <v>2023/01/30</v>
      </c>
      <c r="BL159" t="str">
        <f t="shared" si="175"/>
        <v>NE00</v>
      </c>
      <c r="BM159" t="str">
        <f t="shared" si="176"/>
        <v>１工工務Ｇ</v>
      </c>
      <c r="BN159" t="str">
        <f t="shared" si="199"/>
        <v>46548</v>
      </c>
      <c r="BO159" t="str">
        <f t="shared" si="200"/>
        <v>長畑　玲奈</v>
      </c>
    </row>
    <row r="160" spans="1:67">
      <c r="A160" t="s">
        <v>247</v>
      </c>
      <c r="B160" t="str">
        <f>""</f>
        <v/>
      </c>
      <c r="C160" t="str">
        <f>""</f>
        <v/>
      </c>
      <c r="D160" t="s">
        <v>72</v>
      </c>
      <c r="E160" t="str">
        <f t="shared" si="162"/>
        <v>1Y</v>
      </c>
      <c r="F160" t="str">
        <f t="shared" si="163"/>
        <v>第１工場</v>
      </c>
      <c r="G160" t="str">
        <f t="shared" si="164"/>
        <v>手配</v>
      </c>
      <c r="H160" t="str">
        <f t="shared" si="165"/>
        <v>Ｐ</v>
      </c>
      <c r="I160" t="str">
        <f t="shared" si="201"/>
        <v>3880</v>
      </c>
      <c r="J160" t="str">
        <f t="shared" si="202"/>
        <v>（株）ＢｌｕＥ　Ｎｅｘｕｓ</v>
      </c>
      <c r="K160" t="str">
        <f t="shared" si="161"/>
        <v>01</v>
      </c>
      <c r="L160" t="str">
        <f t="shared" si="203"/>
        <v>デンソー　安城製作所</v>
      </c>
      <c r="M160" t="str">
        <f t="shared" si="204"/>
        <v>受代</v>
      </c>
      <c r="N160" t="str">
        <f t="shared" si="215"/>
        <v>――</v>
      </c>
      <c r="O160" t="str">
        <f t="shared" si="166"/>
        <v>Ｍ</v>
      </c>
      <c r="P160" t="str">
        <f t="shared" si="167"/>
        <v>01</v>
      </c>
      <c r="Q160" t="str">
        <f t="shared" si="168"/>
        <v>第１</v>
      </c>
      <c r="R160" t="str">
        <f t="shared" si="169"/>
        <v>1Y</v>
      </c>
      <c r="S160" t="str">
        <f t="shared" si="170"/>
        <v>安城第１工場</v>
      </c>
      <c r="T160" t="str">
        <f t="shared" si="171"/>
        <v>直接</v>
      </c>
      <c r="U160" t="str">
        <f>""</f>
        <v/>
      </c>
      <c r="V160" t="str">
        <f>""</f>
        <v/>
      </c>
      <c r="W160" t="str">
        <f>""</f>
        <v/>
      </c>
      <c r="X160">
        <v>1</v>
      </c>
      <c r="Y160">
        <v>6</v>
      </c>
      <c r="Z160">
        <v>3.3</v>
      </c>
      <c r="AA160">
        <v>2.09</v>
      </c>
      <c r="AB160">
        <v>3</v>
      </c>
      <c r="AC160">
        <v>2.09</v>
      </c>
      <c r="AD160">
        <v>2.09</v>
      </c>
      <c r="AE160">
        <v>1.1000000000000001</v>
      </c>
      <c r="AF160">
        <v>0.5</v>
      </c>
      <c r="AG160" t="str">
        <f t="shared" si="205"/>
        <v>922</v>
      </c>
      <c r="AH160" t="str">
        <f t="shared" si="206"/>
        <v>ＢｌｕＥ　Ｎｅｘｕｓ</v>
      </c>
      <c r="AI160" t="str">
        <f>"007"</f>
        <v>007</v>
      </c>
      <c r="AJ160" t="str">
        <f>"A-1"</f>
        <v>A-1</v>
      </c>
      <c r="AK160" t="str">
        <f>"00402"</f>
        <v>00402</v>
      </c>
      <c r="AL160" t="str">
        <f t="shared" si="211"/>
        <v>9204</v>
      </c>
      <c r="AM160" t="str">
        <f>"EVﾓｰﾀｺﾝﾄﾛｰﾙｲﾝﾊﾞｰﾀASSY"</f>
        <v>EVﾓｰﾀｺﾝﾄﾛｰﾙｲﾝﾊﾞｰﾀASSY</v>
      </c>
      <c r="AN160" t="str">
        <f t="shared" si="212"/>
        <v>057</v>
      </c>
      <c r="AO160" t="str">
        <f t="shared" si="213"/>
        <v>TP-341-5 ﾊﾝﾖｳ</v>
      </c>
      <c r="AP160">
        <v>1</v>
      </c>
      <c r="AQ160" t="str">
        <f>""</f>
        <v/>
      </c>
      <c r="AR160" t="str">
        <f>""</f>
        <v/>
      </c>
      <c r="AS160" t="str">
        <f>""</f>
        <v/>
      </c>
      <c r="AT160" t="str">
        <f t="shared" si="172"/>
        <v>00</v>
      </c>
      <c r="AU160">
        <v>0.5</v>
      </c>
      <c r="AV160" t="str">
        <f>""</f>
        <v/>
      </c>
      <c r="AW160" t="str">
        <f t="shared" si="216"/>
        <v>08</v>
      </c>
      <c r="AX160" t="str">
        <f t="shared" si="217"/>
        <v>専用</v>
      </c>
      <c r="AY160" t="str">
        <f t="shared" si="218"/>
        <v>01</v>
      </c>
      <c r="AZ160" t="str">
        <f t="shared" si="219"/>
        <v>後補充</v>
      </c>
      <c r="BA160" t="str">
        <f>""</f>
        <v/>
      </c>
      <c r="BB160" t="str">
        <f>"ＴＰ３４１．５フタアリ"</f>
        <v>ＴＰ３４１．５フタアリ</v>
      </c>
      <c r="BC160" t="str">
        <f t="shared" si="214"/>
        <v xml:space="preserve"> 503.000</v>
      </c>
      <c r="BD160" t="str">
        <f t="shared" si="210"/>
        <v xml:space="preserve"> 335.000</v>
      </c>
      <c r="BE160" t="str">
        <f>" 170.000"</f>
        <v xml:space="preserve"> 170.000</v>
      </c>
      <c r="BF160" t="str">
        <f>"   0.029"</f>
        <v xml:space="preserve">   0.029</v>
      </c>
      <c r="BG160" t="str">
        <f>"   6.410"</f>
        <v xml:space="preserve">   6.410</v>
      </c>
      <c r="BH160" t="str">
        <f>"する"</f>
        <v>する</v>
      </c>
      <c r="BI160" t="str">
        <f>"  30"</f>
        <v xml:space="preserve">  30</v>
      </c>
      <c r="BJ160" t="str">
        <f t="shared" si="198"/>
        <v>MASTER01</v>
      </c>
      <c r="BK160" t="str">
        <f t="shared" si="209"/>
        <v>2023/01/30</v>
      </c>
      <c r="BL160" t="str">
        <f t="shared" si="175"/>
        <v>NE00</v>
      </c>
      <c r="BM160" t="str">
        <f t="shared" si="176"/>
        <v>１工工務Ｇ</v>
      </c>
      <c r="BN160" t="str">
        <f t="shared" si="199"/>
        <v>46548</v>
      </c>
      <c r="BO160" t="str">
        <f t="shared" si="200"/>
        <v>長畑　玲奈</v>
      </c>
    </row>
    <row r="161" spans="1:67">
      <c r="A161" t="s">
        <v>248</v>
      </c>
      <c r="B161" t="str">
        <f>""</f>
        <v/>
      </c>
      <c r="C161" t="str">
        <f>""</f>
        <v/>
      </c>
      <c r="D161" t="s">
        <v>72</v>
      </c>
      <c r="E161" t="str">
        <f t="shared" si="162"/>
        <v>1Y</v>
      </c>
      <c r="F161" t="str">
        <f t="shared" si="163"/>
        <v>第１工場</v>
      </c>
      <c r="G161" t="str">
        <f t="shared" si="164"/>
        <v>手配</v>
      </c>
      <c r="H161" t="str">
        <f t="shared" si="165"/>
        <v>Ｐ</v>
      </c>
      <c r="I161" t="str">
        <f t="shared" si="201"/>
        <v>3880</v>
      </c>
      <c r="J161" t="str">
        <f t="shared" si="202"/>
        <v>（株）ＢｌｕＥ　Ｎｅｘｕｓ</v>
      </c>
      <c r="K161" t="str">
        <f t="shared" si="161"/>
        <v>01</v>
      </c>
      <c r="L161" t="str">
        <f t="shared" si="203"/>
        <v>デンソー　安城製作所</v>
      </c>
      <c r="M161" t="str">
        <f t="shared" si="204"/>
        <v>受代</v>
      </c>
      <c r="N161" t="str">
        <f t="shared" si="215"/>
        <v>――</v>
      </c>
      <c r="O161" t="str">
        <f t="shared" si="166"/>
        <v>Ｍ</v>
      </c>
      <c r="P161" t="str">
        <f t="shared" si="167"/>
        <v>01</v>
      </c>
      <c r="Q161" t="str">
        <f t="shared" si="168"/>
        <v>第１</v>
      </c>
      <c r="R161" t="str">
        <f t="shared" si="169"/>
        <v>1Y</v>
      </c>
      <c r="S161" t="str">
        <f t="shared" si="170"/>
        <v>安城第１工場</v>
      </c>
      <c r="T161" t="str">
        <f t="shared" si="171"/>
        <v>直接</v>
      </c>
      <c r="U161" t="str">
        <f>""</f>
        <v/>
      </c>
      <c r="V161" t="str">
        <f>""</f>
        <v/>
      </c>
      <c r="W161" t="str">
        <f>""</f>
        <v/>
      </c>
      <c r="X161">
        <v>1</v>
      </c>
      <c r="Y161">
        <v>6</v>
      </c>
      <c r="Z161">
        <v>3.3</v>
      </c>
      <c r="AA161">
        <v>2.09</v>
      </c>
      <c r="AB161">
        <v>3</v>
      </c>
      <c r="AC161">
        <v>2.09</v>
      </c>
      <c r="AD161">
        <v>2.09</v>
      </c>
      <c r="AE161">
        <v>1.1000000000000001</v>
      </c>
      <c r="AF161">
        <v>0.5</v>
      </c>
      <c r="AG161" t="str">
        <f t="shared" si="205"/>
        <v>922</v>
      </c>
      <c r="AH161" t="str">
        <f t="shared" si="206"/>
        <v>ＢｌｕＥ　Ｎｅｘｕｓ</v>
      </c>
      <c r="AI161" t="str">
        <f>"010"</f>
        <v>010</v>
      </c>
      <c r="AJ161" t="str">
        <f>"B-1"</f>
        <v>B-1</v>
      </c>
      <c r="AK161" t="str">
        <f>"00403"</f>
        <v>00403</v>
      </c>
      <c r="AL161" t="str">
        <f t="shared" si="211"/>
        <v>9204</v>
      </c>
      <c r="AM161" t="str">
        <f>"EVﾓｰﾀｺﾝﾄﾛｰﾙｲﾝﾊﾞｰﾀASSY"</f>
        <v>EVﾓｰﾀｺﾝﾄﾛｰﾙｲﾝﾊﾞｰﾀASSY</v>
      </c>
      <c r="AN161" t="str">
        <f t="shared" si="212"/>
        <v>057</v>
      </c>
      <c r="AO161" t="str">
        <f t="shared" si="213"/>
        <v>TP-341-5 ﾊﾝﾖｳ</v>
      </c>
      <c r="AP161">
        <v>1</v>
      </c>
      <c r="AQ161" t="str">
        <f>""</f>
        <v/>
      </c>
      <c r="AR161" t="str">
        <f>""</f>
        <v/>
      </c>
      <c r="AS161" t="str">
        <f>""</f>
        <v/>
      </c>
      <c r="AT161" t="str">
        <f t="shared" si="172"/>
        <v>00</v>
      </c>
      <c r="AU161">
        <v>0.5</v>
      </c>
      <c r="AV161" t="str">
        <f>""</f>
        <v/>
      </c>
      <c r="AW161" t="str">
        <f t="shared" si="216"/>
        <v>08</v>
      </c>
      <c r="AX161" t="str">
        <f t="shared" si="217"/>
        <v>専用</v>
      </c>
      <c r="AY161" t="str">
        <f t="shared" si="218"/>
        <v>01</v>
      </c>
      <c r="AZ161" t="str">
        <f t="shared" si="219"/>
        <v>後補充</v>
      </c>
      <c r="BA161" t="str">
        <f>""</f>
        <v/>
      </c>
      <c r="BB161" t="str">
        <f>"ＴＰ３４１．５フタアリ"</f>
        <v>ＴＰ３４１．５フタアリ</v>
      </c>
      <c r="BC161" t="str">
        <f t="shared" si="214"/>
        <v xml:space="preserve"> 503.000</v>
      </c>
      <c r="BD161" t="str">
        <f t="shared" si="210"/>
        <v xml:space="preserve"> 335.000</v>
      </c>
      <c r="BE161" t="str">
        <f>" 170.000"</f>
        <v xml:space="preserve"> 170.000</v>
      </c>
      <c r="BF161" t="str">
        <f>"   0.029"</f>
        <v xml:space="preserve">   0.029</v>
      </c>
      <c r="BG161" t="str">
        <f>"   6.410"</f>
        <v xml:space="preserve">   6.410</v>
      </c>
      <c r="BH161" t="str">
        <f>"する"</f>
        <v>する</v>
      </c>
      <c r="BI161" t="str">
        <f>"  30"</f>
        <v xml:space="preserve">  30</v>
      </c>
      <c r="BJ161" t="str">
        <f t="shared" si="198"/>
        <v>MASTER01</v>
      </c>
      <c r="BK161" t="str">
        <f t="shared" si="209"/>
        <v>2023/01/30</v>
      </c>
      <c r="BL161" t="str">
        <f t="shared" si="175"/>
        <v>NE00</v>
      </c>
      <c r="BM161" t="str">
        <f t="shared" si="176"/>
        <v>１工工務Ｇ</v>
      </c>
      <c r="BN161" t="str">
        <f t="shared" si="199"/>
        <v>46548</v>
      </c>
      <c r="BO161" t="str">
        <f t="shared" si="200"/>
        <v>長畑　玲奈</v>
      </c>
    </row>
    <row r="162" spans="1:67">
      <c r="A162" t="s">
        <v>249</v>
      </c>
      <c r="B162" t="str">
        <f>""</f>
        <v/>
      </c>
      <c r="C162" t="str">
        <f>""</f>
        <v/>
      </c>
      <c r="D162" t="s">
        <v>72</v>
      </c>
      <c r="E162" t="str">
        <f t="shared" si="162"/>
        <v>1Y</v>
      </c>
      <c r="F162" t="str">
        <f t="shared" si="163"/>
        <v>第１工場</v>
      </c>
      <c r="G162" t="str">
        <f t="shared" si="164"/>
        <v>手配</v>
      </c>
      <c r="H162" t="str">
        <f t="shared" si="165"/>
        <v>Ｐ</v>
      </c>
      <c r="I162" t="str">
        <f t="shared" si="201"/>
        <v>3880</v>
      </c>
      <c r="J162" t="str">
        <f t="shared" si="202"/>
        <v>（株）ＢｌｕＥ　Ｎｅｘｕｓ</v>
      </c>
      <c r="K162" t="str">
        <f t="shared" si="161"/>
        <v>01</v>
      </c>
      <c r="L162" t="str">
        <f t="shared" si="203"/>
        <v>デンソー　安城製作所</v>
      </c>
      <c r="M162" t="str">
        <f t="shared" si="204"/>
        <v>受代</v>
      </c>
      <c r="N162" t="str">
        <f t="shared" si="215"/>
        <v>――</v>
      </c>
      <c r="O162" t="str">
        <f t="shared" si="166"/>
        <v>Ｍ</v>
      </c>
      <c r="P162" t="str">
        <f t="shared" si="167"/>
        <v>01</v>
      </c>
      <c r="Q162" t="str">
        <f t="shared" si="168"/>
        <v>第１</v>
      </c>
      <c r="R162" t="str">
        <f t="shared" si="169"/>
        <v>1Y</v>
      </c>
      <c r="S162" t="str">
        <f t="shared" si="170"/>
        <v>安城第１工場</v>
      </c>
      <c r="T162" t="str">
        <f t="shared" si="171"/>
        <v>直接</v>
      </c>
      <c r="U162" t="str">
        <f>""</f>
        <v/>
      </c>
      <c r="V162" t="str">
        <f>""</f>
        <v/>
      </c>
      <c r="W162" t="str">
        <f>""</f>
        <v/>
      </c>
      <c r="X162">
        <v>1</v>
      </c>
      <c r="Y162">
        <v>6</v>
      </c>
      <c r="Z162">
        <v>3.3</v>
      </c>
      <c r="AA162">
        <v>2.09</v>
      </c>
      <c r="AB162">
        <v>3</v>
      </c>
      <c r="AC162">
        <v>2.09</v>
      </c>
      <c r="AD162">
        <v>2.09</v>
      </c>
      <c r="AE162">
        <v>1.1000000000000001</v>
      </c>
      <c r="AF162">
        <v>0.5</v>
      </c>
      <c r="AG162" t="str">
        <f t="shared" si="205"/>
        <v>922</v>
      </c>
      <c r="AH162" t="str">
        <f t="shared" si="206"/>
        <v>ＢｌｕＥ　Ｎｅｘｕｓ</v>
      </c>
      <c r="AI162" t="str">
        <f>"011"</f>
        <v>011</v>
      </c>
      <c r="AJ162" t="str">
        <f>"E-1"</f>
        <v>E-1</v>
      </c>
      <c r="AK162" t="str">
        <f>"00502"</f>
        <v>00502</v>
      </c>
      <c r="AL162" t="str">
        <f t="shared" si="211"/>
        <v>9204</v>
      </c>
      <c r="AM162" t="str">
        <f>"EVﾓｰﾀｺﾝﾄﾛｰﾙｲﾝﾊﾞｰﾀASSY"</f>
        <v>EVﾓｰﾀｺﾝﾄﾛｰﾙｲﾝﾊﾞｰﾀASSY</v>
      </c>
      <c r="AN162" t="str">
        <f t="shared" si="212"/>
        <v>057</v>
      </c>
      <c r="AO162" t="str">
        <f t="shared" si="213"/>
        <v>TP-341-5 ﾊﾝﾖｳ</v>
      </c>
      <c r="AP162">
        <v>1</v>
      </c>
      <c r="AQ162" t="str">
        <f>""</f>
        <v/>
      </c>
      <c r="AR162" t="str">
        <f>""</f>
        <v/>
      </c>
      <c r="AS162" t="str">
        <f>""</f>
        <v/>
      </c>
      <c r="AT162" t="str">
        <f t="shared" si="172"/>
        <v>00</v>
      </c>
      <c r="AU162">
        <v>0.5</v>
      </c>
      <c r="AV162" t="str">
        <f>""</f>
        <v/>
      </c>
      <c r="AW162" t="str">
        <f t="shared" si="216"/>
        <v>08</v>
      </c>
      <c r="AX162" t="str">
        <f t="shared" si="217"/>
        <v>専用</v>
      </c>
      <c r="AY162" t="str">
        <f t="shared" si="218"/>
        <v>01</v>
      </c>
      <c r="AZ162" t="str">
        <f t="shared" si="219"/>
        <v>後補充</v>
      </c>
      <c r="BA162" t="str">
        <f>""</f>
        <v/>
      </c>
      <c r="BB162" t="str">
        <f>""</f>
        <v/>
      </c>
      <c r="BC162" t="str">
        <f t="shared" si="214"/>
        <v xml:space="preserve"> 503.000</v>
      </c>
      <c r="BD162" t="str">
        <f t="shared" si="210"/>
        <v xml:space="preserve"> 335.000</v>
      </c>
      <c r="BE162" t="str">
        <f>" 170.000"</f>
        <v xml:space="preserve"> 170.000</v>
      </c>
      <c r="BF162" t="str">
        <f>"   0.029"</f>
        <v xml:space="preserve">   0.029</v>
      </c>
      <c r="BG162" t="str">
        <f>"   6.410"</f>
        <v xml:space="preserve">   6.410</v>
      </c>
      <c r="BH162" t="str">
        <f>"する"</f>
        <v>する</v>
      </c>
      <c r="BI162" t="str">
        <f>"  30"</f>
        <v xml:space="preserve">  30</v>
      </c>
      <c r="BJ162" t="str">
        <f t="shared" si="198"/>
        <v>MASTER01</v>
      </c>
      <c r="BK162" t="str">
        <f t="shared" si="209"/>
        <v>2023/01/30</v>
      </c>
      <c r="BL162" t="str">
        <f t="shared" si="175"/>
        <v>NE00</v>
      </c>
      <c r="BM162" t="str">
        <f t="shared" si="176"/>
        <v>１工工務Ｇ</v>
      </c>
      <c r="BN162" t="str">
        <f t="shared" si="199"/>
        <v>46548</v>
      </c>
      <c r="BO162" t="str">
        <f t="shared" si="200"/>
        <v>長畑　玲奈</v>
      </c>
    </row>
    <row r="163" spans="1:67">
      <c r="A163" t="s">
        <v>250</v>
      </c>
      <c r="B163" t="str">
        <f>""</f>
        <v/>
      </c>
      <c r="C163" t="str">
        <f>""</f>
        <v/>
      </c>
      <c r="D163" t="s">
        <v>74</v>
      </c>
      <c r="E163" t="str">
        <f t="shared" si="162"/>
        <v>1Y</v>
      </c>
      <c r="F163" t="str">
        <f t="shared" si="163"/>
        <v>第１工場</v>
      </c>
      <c r="G163" t="str">
        <f t="shared" si="164"/>
        <v>手配</v>
      </c>
      <c r="H163" t="str">
        <f t="shared" si="165"/>
        <v>Ｐ</v>
      </c>
      <c r="I163" t="str">
        <f t="shared" si="201"/>
        <v>3880</v>
      </c>
      <c r="J163" t="str">
        <f t="shared" si="202"/>
        <v>（株）ＢｌｕＥ　Ｎｅｘｕｓ</v>
      </c>
      <c r="K163" t="str">
        <f t="shared" si="161"/>
        <v>01</v>
      </c>
      <c r="L163" t="str">
        <f t="shared" si="203"/>
        <v>デンソー　安城製作所</v>
      </c>
      <c r="M163" t="str">
        <f t="shared" si="204"/>
        <v>受代</v>
      </c>
      <c r="N163" t="str">
        <f t="shared" si="215"/>
        <v>――</v>
      </c>
      <c r="O163" t="str">
        <f t="shared" si="166"/>
        <v>Ｍ</v>
      </c>
      <c r="P163" t="str">
        <f t="shared" si="167"/>
        <v>01</v>
      </c>
      <c r="Q163" t="str">
        <f t="shared" si="168"/>
        <v>第１</v>
      </c>
      <c r="R163" t="str">
        <f t="shared" si="169"/>
        <v>1Y</v>
      </c>
      <c r="S163" t="str">
        <f t="shared" si="170"/>
        <v>安城第１工場</v>
      </c>
      <c r="T163" t="str">
        <f t="shared" si="171"/>
        <v>直接</v>
      </c>
      <c r="U163" t="str">
        <f>""</f>
        <v/>
      </c>
      <c r="V163" t="str">
        <f>""</f>
        <v/>
      </c>
      <c r="W163" t="str">
        <f>""</f>
        <v/>
      </c>
      <c r="X163">
        <v>1</v>
      </c>
      <c r="Y163">
        <v>6</v>
      </c>
      <c r="Z163">
        <v>3.3</v>
      </c>
      <c r="AA163">
        <v>2.11</v>
      </c>
      <c r="AB163">
        <v>3</v>
      </c>
      <c r="AC163">
        <v>2.11</v>
      </c>
      <c r="AD163">
        <v>2.11</v>
      </c>
      <c r="AE163">
        <v>1.1000000000000001</v>
      </c>
      <c r="AF163">
        <v>0.5</v>
      </c>
      <c r="AG163" t="str">
        <f t="shared" si="205"/>
        <v>922</v>
      </c>
      <c r="AH163" t="str">
        <f t="shared" si="206"/>
        <v>ＢｌｕＥ　Ｎｅｘｕｓ</v>
      </c>
      <c r="AI163" t="str">
        <f>"003"</f>
        <v>003</v>
      </c>
      <c r="AJ163" t="str">
        <f>"I1-2"</f>
        <v>I1-2</v>
      </c>
      <c r="AK163" t="str">
        <f>"20409"</f>
        <v>20409</v>
      </c>
      <c r="AL163" t="str">
        <f>"9205"</f>
        <v>9205</v>
      </c>
      <c r="AM163" t="str">
        <f>"ｲﾝﾊﾞｰﾀｸｰﾗﾝﾄﾊﾟｲﾌﾟ"</f>
        <v>ｲﾝﾊﾞｰﾀｸｰﾗﾝﾄﾊﾟｲﾌﾟ</v>
      </c>
      <c r="AN163" t="str">
        <f>"014"</f>
        <v>014</v>
      </c>
      <c r="AO163" t="str">
        <f>"TP-331 ﾊﾝﾖｳ"</f>
        <v>TP-331 ﾊﾝﾖｳ</v>
      </c>
      <c r="AP163">
        <v>12</v>
      </c>
      <c r="AQ163" t="str">
        <f>""</f>
        <v/>
      </c>
      <c r="AR163" t="str">
        <f>""</f>
        <v/>
      </c>
      <c r="AS163" t="str">
        <f>""</f>
        <v/>
      </c>
      <c r="AT163" t="str">
        <f t="shared" si="172"/>
        <v>00</v>
      </c>
      <c r="AU163">
        <v>0.5</v>
      </c>
      <c r="AV163" t="str">
        <f>""</f>
        <v/>
      </c>
      <c r="AW163" t="str">
        <f t="shared" si="216"/>
        <v>08</v>
      </c>
      <c r="AX163" t="str">
        <f t="shared" si="217"/>
        <v>専用</v>
      </c>
      <c r="AY163" t="str">
        <f t="shared" si="218"/>
        <v>01</v>
      </c>
      <c r="AZ163" t="str">
        <f t="shared" si="219"/>
        <v>後補充</v>
      </c>
      <c r="BA163" t="str">
        <f>""</f>
        <v/>
      </c>
      <c r="BB163" t="str">
        <f>"ＴＰ３３１フタアリ"</f>
        <v>ＴＰ３３１フタアリ</v>
      </c>
      <c r="BC163" t="str">
        <f t="shared" ref="BC163:BC174" si="220">" 335.000"</f>
        <v xml:space="preserve"> 335.000</v>
      </c>
      <c r="BD163" t="str">
        <f t="shared" si="210"/>
        <v xml:space="preserve"> 335.000</v>
      </c>
      <c r="BE163" t="str">
        <f>" 124.000"</f>
        <v xml:space="preserve"> 124.000</v>
      </c>
      <c r="BF163" t="str">
        <f>"   0.014"</f>
        <v xml:space="preserve">   0.014</v>
      </c>
      <c r="BG163" t="str">
        <f>"   3.450"</f>
        <v xml:space="preserve">   3.450</v>
      </c>
      <c r="BH163" t="str">
        <f t="shared" ref="BH163:BH226" si="221">"しない"</f>
        <v>しない</v>
      </c>
      <c r="BI163" t="str">
        <f>""</f>
        <v/>
      </c>
      <c r="BJ163" t="str">
        <f t="shared" si="198"/>
        <v>MASTER01</v>
      </c>
      <c r="BK163" t="str">
        <f t="shared" si="209"/>
        <v>2023/01/30</v>
      </c>
      <c r="BL163" t="str">
        <f t="shared" si="175"/>
        <v>NE00</v>
      </c>
      <c r="BM163" t="str">
        <f t="shared" si="176"/>
        <v>１工工務Ｇ</v>
      </c>
      <c r="BN163" t="str">
        <f t="shared" si="199"/>
        <v>46548</v>
      </c>
      <c r="BO163" t="str">
        <f t="shared" si="200"/>
        <v>長畑　玲奈</v>
      </c>
    </row>
    <row r="164" spans="1:67">
      <c r="A164" t="s">
        <v>251</v>
      </c>
      <c r="B164" t="str">
        <f>""</f>
        <v/>
      </c>
      <c r="C164" t="str">
        <f>""</f>
        <v/>
      </c>
      <c r="D164" t="s">
        <v>74</v>
      </c>
      <c r="E164" t="str">
        <f t="shared" si="162"/>
        <v>1Y</v>
      </c>
      <c r="F164" t="str">
        <f t="shared" si="163"/>
        <v>第１工場</v>
      </c>
      <c r="G164" t="str">
        <f t="shared" si="164"/>
        <v>手配</v>
      </c>
      <c r="H164" t="str">
        <f t="shared" si="165"/>
        <v>Ｐ</v>
      </c>
      <c r="I164" t="str">
        <f t="shared" si="201"/>
        <v>3880</v>
      </c>
      <c r="J164" t="str">
        <f t="shared" si="202"/>
        <v>（株）ＢｌｕＥ　Ｎｅｘｕｓ</v>
      </c>
      <c r="K164" t="str">
        <f t="shared" si="161"/>
        <v>01</v>
      </c>
      <c r="L164" t="str">
        <f t="shared" si="203"/>
        <v>デンソー　安城製作所</v>
      </c>
      <c r="M164" t="str">
        <f t="shared" si="204"/>
        <v>受代</v>
      </c>
      <c r="N164" t="str">
        <f t="shared" si="215"/>
        <v>――</v>
      </c>
      <c r="O164" t="str">
        <f t="shared" si="166"/>
        <v>Ｍ</v>
      </c>
      <c r="P164" t="str">
        <f t="shared" si="167"/>
        <v>01</v>
      </c>
      <c r="Q164" t="str">
        <f t="shared" si="168"/>
        <v>第１</v>
      </c>
      <c r="R164" t="str">
        <f t="shared" si="169"/>
        <v>1Y</v>
      </c>
      <c r="S164" t="str">
        <f t="shared" si="170"/>
        <v>安城第１工場</v>
      </c>
      <c r="T164" t="str">
        <f t="shared" si="171"/>
        <v>直接</v>
      </c>
      <c r="U164" t="str">
        <f>""</f>
        <v/>
      </c>
      <c r="V164" t="str">
        <f>""</f>
        <v/>
      </c>
      <c r="W164" t="str">
        <f>""</f>
        <v/>
      </c>
      <c r="X164">
        <v>1</v>
      </c>
      <c r="Y164">
        <v>6</v>
      </c>
      <c r="Z164">
        <v>3.3</v>
      </c>
      <c r="AA164">
        <v>2.11</v>
      </c>
      <c r="AB164">
        <v>3</v>
      </c>
      <c r="AC164">
        <v>2.11</v>
      </c>
      <c r="AD164">
        <v>2.11</v>
      </c>
      <c r="AE164">
        <v>1.1000000000000001</v>
      </c>
      <c r="AF164">
        <v>0.5</v>
      </c>
      <c r="AG164" t="str">
        <f t="shared" si="205"/>
        <v>922</v>
      </c>
      <c r="AH164" t="str">
        <f t="shared" si="206"/>
        <v>ＢｌｕＥ　Ｎｅｘｕｓ</v>
      </c>
      <c r="AI164" t="str">
        <f>"008"</f>
        <v>008</v>
      </c>
      <c r="AJ164" t="str">
        <f>"I1-2"</f>
        <v>I1-2</v>
      </c>
      <c r="AK164" t="str">
        <f>"20406"</f>
        <v>20406</v>
      </c>
      <c r="AL164" t="str">
        <f>"9205"</f>
        <v>9205</v>
      </c>
      <c r="AM164" t="str">
        <f>"ｲﾝﾊﾞｰﾀｸｰﾗﾝﾄﾊﾟｲﾌﾟ"</f>
        <v>ｲﾝﾊﾞｰﾀｸｰﾗﾝﾄﾊﾟｲﾌﾟ</v>
      </c>
      <c r="AN164" t="str">
        <f>"014"</f>
        <v>014</v>
      </c>
      <c r="AO164" t="str">
        <f>"TP-331 ﾊﾝﾖｳ"</f>
        <v>TP-331 ﾊﾝﾖｳ</v>
      </c>
      <c r="AP164">
        <v>12</v>
      </c>
      <c r="AQ164" t="str">
        <f>""</f>
        <v/>
      </c>
      <c r="AR164" t="str">
        <f>""</f>
        <v/>
      </c>
      <c r="AS164" t="str">
        <f>""</f>
        <v/>
      </c>
      <c r="AT164" t="str">
        <f t="shared" si="172"/>
        <v>00</v>
      </c>
      <c r="AU164">
        <v>0.5</v>
      </c>
      <c r="AV164" t="str">
        <f>""</f>
        <v/>
      </c>
      <c r="AW164" t="str">
        <f t="shared" si="216"/>
        <v>08</v>
      </c>
      <c r="AX164" t="str">
        <f t="shared" si="217"/>
        <v>専用</v>
      </c>
      <c r="AY164" t="str">
        <f t="shared" si="218"/>
        <v>01</v>
      </c>
      <c r="AZ164" t="str">
        <f t="shared" si="219"/>
        <v>後補充</v>
      </c>
      <c r="BA164" t="str">
        <f>""</f>
        <v/>
      </c>
      <c r="BB164" t="str">
        <f>"ＴＰ３３１フタアリ"</f>
        <v>ＴＰ３３１フタアリ</v>
      </c>
      <c r="BC164" t="str">
        <f t="shared" si="220"/>
        <v xml:space="preserve"> 335.000</v>
      </c>
      <c r="BD164" t="str">
        <f t="shared" si="210"/>
        <v xml:space="preserve"> 335.000</v>
      </c>
      <c r="BE164" t="str">
        <f>" 124.000"</f>
        <v xml:space="preserve"> 124.000</v>
      </c>
      <c r="BF164" t="str">
        <f>"   0.014"</f>
        <v xml:space="preserve">   0.014</v>
      </c>
      <c r="BG164" t="str">
        <f>"   3.430"</f>
        <v xml:space="preserve">   3.430</v>
      </c>
      <c r="BH164" t="str">
        <f t="shared" si="221"/>
        <v>しない</v>
      </c>
      <c r="BI164" t="str">
        <f>""</f>
        <v/>
      </c>
      <c r="BJ164" t="str">
        <f t="shared" si="198"/>
        <v>MASTER01</v>
      </c>
      <c r="BK164" t="str">
        <f t="shared" si="209"/>
        <v>2023/01/30</v>
      </c>
      <c r="BL164" t="str">
        <f t="shared" si="175"/>
        <v>NE00</v>
      </c>
      <c r="BM164" t="str">
        <f t="shared" si="176"/>
        <v>１工工務Ｇ</v>
      </c>
      <c r="BN164" t="str">
        <f t="shared" si="199"/>
        <v>46548</v>
      </c>
      <c r="BO164" t="str">
        <f t="shared" si="200"/>
        <v>長畑　玲奈</v>
      </c>
    </row>
    <row r="165" spans="1:67">
      <c r="A165">
        <v>9033114006</v>
      </c>
      <c r="B165" t="str">
        <f>""</f>
        <v/>
      </c>
      <c r="C165" t="str">
        <f>""</f>
        <v/>
      </c>
      <c r="D165" t="s">
        <v>42</v>
      </c>
      <c r="E165" t="str">
        <f t="shared" si="162"/>
        <v>1Y</v>
      </c>
      <c r="F165" t="str">
        <f t="shared" si="163"/>
        <v>第１工場</v>
      </c>
      <c r="G165" t="str">
        <f t="shared" si="164"/>
        <v>手配</v>
      </c>
      <c r="H165" t="str">
        <f t="shared" si="165"/>
        <v>Ｐ</v>
      </c>
      <c r="I165" t="str">
        <f>"4125"</f>
        <v>4125</v>
      </c>
      <c r="J165" t="str">
        <f>"ナミコー（株）"</f>
        <v>ナミコー（株）</v>
      </c>
      <c r="K165" t="str">
        <f t="shared" si="161"/>
        <v>01</v>
      </c>
      <c r="L165" t="str">
        <f>""</f>
        <v/>
      </c>
      <c r="M165" t="str">
        <f t="shared" ref="M165:N228" si="222">"――"</f>
        <v>――</v>
      </c>
      <c r="N165" t="str">
        <f t="shared" si="215"/>
        <v>――</v>
      </c>
      <c r="O165" t="str">
        <f t="shared" si="166"/>
        <v>Ｍ</v>
      </c>
      <c r="P165" t="str">
        <f t="shared" si="167"/>
        <v>01</v>
      </c>
      <c r="Q165" t="str">
        <f t="shared" si="168"/>
        <v>第１</v>
      </c>
      <c r="R165" t="str">
        <f t="shared" si="169"/>
        <v>1Y</v>
      </c>
      <c r="S165" t="str">
        <f t="shared" si="170"/>
        <v>安城第１工場</v>
      </c>
      <c r="T165" t="str">
        <f t="shared" si="171"/>
        <v>直接</v>
      </c>
      <c r="U165" t="str">
        <f>""</f>
        <v/>
      </c>
      <c r="V165" t="str">
        <f>""</f>
        <v/>
      </c>
      <c r="W165" t="str">
        <f>""</f>
        <v/>
      </c>
      <c r="X165">
        <v>1</v>
      </c>
      <c r="Y165">
        <v>1</v>
      </c>
      <c r="Z165">
        <v>3.25</v>
      </c>
      <c r="AA165">
        <v>1.1499999999999999</v>
      </c>
      <c r="AB165">
        <v>3</v>
      </c>
      <c r="AC165">
        <v>1.1000000000000001</v>
      </c>
      <c r="AD165">
        <v>1.1000000000000001</v>
      </c>
      <c r="AE165">
        <v>1.1000000000000001</v>
      </c>
      <c r="AF165">
        <v>0.5</v>
      </c>
      <c r="AG165" t="str">
        <f>"811"</f>
        <v>811</v>
      </c>
      <c r="AH165" t="str">
        <f>"ナミコー（株）"</f>
        <v>ナミコー（株）</v>
      </c>
      <c r="AI165" t="str">
        <f>"001"</f>
        <v>001</v>
      </c>
      <c r="AJ165" t="str">
        <f>"S-G-31"</f>
        <v>S-G-31</v>
      </c>
      <c r="AK165" t="str">
        <f>"20438"</f>
        <v>20438</v>
      </c>
      <c r="AL165" t="str">
        <f>"0525"</f>
        <v>0525</v>
      </c>
      <c r="AM165" t="str">
        <f>"ﾌﾟﾗｸﾞﾀｲﾄ"</f>
        <v>ﾌﾟﾗｸﾞﾀｲﾄ</v>
      </c>
      <c r="AN165" t="str">
        <f>"014"</f>
        <v>014</v>
      </c>
      <c r="AO165" t="str">
        <f>"TP-331 ﾊﾝﾖｳ"</f>
        <v>TP-331 ﾊﾝﾖｳ</v>
      </c>
      <c r="AP165">
        <v>2000</v>
      </c>
      <c r="AQ165" t="str">
        <f>""</f>
        <v/>
      </c>
      <c r="AR165" t="str">
        <f>""</f>
        <v/>
      </c>
      <c r="AS165" t="str">
        <f>""</f>
        <v/>
      </c>
      <c r="AT165" t="str">
        <f t="shared" si="172"/>
        <v>00</v>
      </c>
      <c r="AU165">
        <v>0.5</v>
      </c>
      <c r="AV165" t="str">
        <f>""</f>
        <v/>
      </c>
      <c r="AW165" t="str">
        <f t="shared" si="216"/>
        <v>08</v>
      </c>
      <c r="AX165" t="str">
        <f t="shared" si="217"/>
        <v>専用</v>
      </c>
      <c r="AY165" t="str">
        <f t="shared" si="218"/>
        <v>01</v>
      </c>
      <c r="AZ165" t="str">
        <f t="shared" si="219"/>
        <v>後補充</v>
      </c>
      <c r="BA165" t="str">
        <f>""</f>
        <v/>
      </c>
      <c r="BB165" t="str">
        <f>"ＴＰ３３１フタナシ"</f>
        <v>ＴＰ３３１フタナシ</v>
      </c>
      <c r="BC165" t="str">
        <f t="shared" si="220"/>
        <v xml:space="preserve"> 335.000</v>
      </c>
      <c r="BD165" t="str">
        <f t="shared" si="210"/>
        <v xml:space="preserve"> 335.000</v>
      </c>
      <c r="BE165" t="str">
        <f t="shared" ref="BE165:BE174" si="223">" 103.000"</f>
        <v xml:space="preserve"> 103.000</v>
      </c>
      <c r="BF165" t="str">
        <f>"   0.012"</f>
        <v xml:space="preserve">   0.012</v>
      </c>
      <c r="BG165" t="str">
        <f>"   4.700"</f>
        <v xml:space="preserve">   4.700</v>
      </c>
      <c r="BH165" t="str">
        <f t="shared" si="221"/>
        <v>しない</v>
      </c>
      <c r="BI165" t="str">
        <f>""</f>
        <v/>
      </c>
      <c r="BJ165" t="str">
        <f t="shared" si="198"/>
        <v>MASTER01</v>
      </c>
      <c r="BK165" t="str">
        <f>"2022/06/13"</f>
        <v>2022/06/13</v>
      </c>
      <c r="BL165" t="str">
        <f t="shared" si="175"/>
        <v>NE00</v>
      </c>
      <c r="BM165" t="str">
        <f t="shared" si="176"/>
        <v>１工工務Ｇ</v>
      </c>
      <c r="BN165" t="str">
        <f>"42678"</f>
        <v>42678</v>
      </c>
      <c r="BO165" t="str">
        <f>"藤井　織花"</f>
        <v>藤井　織花</v>
      </c>
    </row>
    <row r="166" spans="1:67">
      <c r="A166" t="s">
        <v>638</v>
      </c>
      <c r="B166" t="str">
        <f>""</f>
        <v/>
      </c>
      <c r="C166" t="str">
        <f>""</f>
        <v/>
      </c>
      <c r="D166" t="s">
        <v>75</v>
      </c>
      <c r="E166" t="str">
        <f t="shared" si="162"/>
        <v>1Y</v>
      </c>
      <c r="F166" t="str">
        <f t="shared" si="163"/>
        <v>第１工場</v>
      </c>
      <c r="G166" t="str">
        <f t="shared" si="164"/>
        <v>手配</v>
      </c>
      <c r="H166" t="str">
        <f t="shared" si="165"/>
        <v>Ｐ</v>
      </c>
      <c r="I166" t="str">
        <f t="shared" ref="I166:I177" si="224">"4241"</f>
        <v>4241</v>
      </c>
      <c r="J166" t="str">
        <f t="shared" ref="J166:J177" si="225">"ＮＯＫ（株）"</f>
        <v>ＮＯＫ（株）</v>
      </c>
      <c r="K166" t="str">
        <f t="shared" si="161"/>
        <v>01</v>
      </c>
      <c r="L166" t="str">
        <f>""</f>
        <v/>
      </c>
      <c r="M166" t="str">
        <f t="shared" si="222"/>
        <v>――</v>
      </c>
      <c r="N166" t="str">
        <f t="shared" si="215"/>
        <v>――</v>
      </c>
      <c r="O166" t="str">
        <f t="shared" si="166"/>
        <v>Ｍ</v>
      </c>
      <c r="P166" t="str">
        <f t="shared" si="167"/>
        <v>01</v>
      </c>
      <c r="Q166" t="str">
        <f t="shared" si="168"/>
        <v>第１</v>
      </c>
      <c r="R166" t="str">
        <f t="shared" si="169"/>
        <v>1Y</v>
      </c>
      <c r="S166" t="str">
        <f t="shared" si="170"/>
        <v>安城第１工場</v>
      </c>
      <c r="T166" t="str">
        <f t="shared" si="171"/>
        <v>直接</v>
      </c>
      <c r="U166" t="str">
        <f>""</f>
        <v/>
      </c>
      <c r="V166" t="str">
        <f>""</f>
        <v/>
      </c>
      <c r="W166" t="str">
        <f>""</f>
        <v/>
      </c>
      <c r="X166">
        <v>1</v>
      </c>
      <c r="Y166">
        <v>2</v>
      </c>
      <c r="Z166">
        <v>3.52</v>
      </c>
      <c r="AA166">
        <v>1.01</v>
      </c>
      <c r="AB166">
        <v>3</v>
      </c>
      <c r="AC166">
        <v>1.01</v>
      </c>
      <c r="AD166">
        <v>1.01</v>
      </c>
      <c r="AE166">
        <v>1.1000000000000001</v>
      </c>
      <c r="AF166">
        <v>0.5</v>
      </c>
      <c r="AG166" t="str">
        <f t="shared" ref="AG166:AG177" si="226">"047"</f>
        <v>047</v>
      </c>
      <c r="AH166" t="str">
        <f t="shared" ref="AH166:AH177" si="227">"ＮＯＫ（株）"</f>
        <v>ＮＯＫ（株）</v>
      </c>
      <c r="AI166" t="str">
        <f>"001"</f>
        <v>001</v>
      </c>
      <c r="AJ166" t="str">
        <f>"S-SM-1-1"</f>
        <v>S-SM-1-1</v>
      </c>
      <c r="AK166" t="str">
        <f>"10412"</f>
        <v>10412</v>
      </c>
      <c r="AL166" t="str">
        <f>"9080"</f>
        <v>9080</v>
      </c>
      <c r="AM166" t="str">
        <f>"ｼｰﾙﾀｲﾌﾟTｵｲﾙ"</f>
        <v>ｼｰﾙﾀｲﾌﾟTｵｲﾙ</v>
      </c>
      <c r="AN166" t="str">
        <f t="shared" ref="AN166:AN174" si="228">"012"</f>
        <v>012</v>
      </c>
      <c r="AO166" t="str">
        <f t="shared" ref="AO166:AO174" si="229">"TP-131 ﾊﾝﾖｳ"</f>
        <v>TP-131 ﾊﾝﾖｳ</v>
      </c>
      <c r="AP166">
        <v>400</v>
      </c>
      <c r="AQ166" t="str">
        <f>""</f>
        <v/>
      </c>
      <c r="AR166" t="str">
        <f>""</f>
        <v/>
      </c>
      <c r="AS166" t="str">
        <f>""</f>
        <v/>
      </c>
      <c r="AT166" t="str">
        <f t="shared" si="172"/>
        <v>00</v>
      </c>
      <c r="AU166">
        <v>0.5</v>
      </c>
      <c r="AV166" t="str">
        <f>""</f>
        <v/>
      </c>
      <c r="AW166" t="str">
        <f t="shared" si="216"/>
        <v>08</v>
      </c>
      <c r="AX166" t="str">
        <f t="shared" si="217"/>
        <v>専用</v>
      </c>
      <c r="AY166" t="str">
        <f t="shared" si="218"/>
        <v>01</v>
      </c>
      <c r="AZ166" t="str">
        <f t="shared" si="219"/>
        <v>後補充</v>
      </c>
      <c r="BA166" t="str">
        <f>""</f>
        <v/>
      </c>
      <c r="BB166" t="str">
        <f t="shared" ref="BB166:BB174" si="230">"ＴＰ１３１フタナシ"</f>
        <v>ＴＰ１３１フタナシ</v>
      </c>
      <c r="BC166" t="str">
        <f t="shared" si="220"/>
        <v xml:space="preserve"> 335.000</v>
      </c>
      <c r="BD166" t="str">
        <f t="shared" ref="BD166:BD174" si="231">" 168.000"</f>
        <v xml:space="preserve"> 168.000</v>
      </c>
      <c r="BE166" t="str">
        <f t="shared" si="223"/>
        <v xml:space="preserve"> 103.000</v>
      </c>
      <c r="BF166" t="str">
        <f t="shared" ref="BF166:BF174" si="232">"   0.006"</f>
        <v xml:space="preserve">   0.006</v>
      </c>
      <c r="BG166" t="str">
        <f>"   1.680"</f>
        <v xml:space="preserve">   1.680</v>
      </c>
      <c r="BH166" t="str">
        <f t="shared" si="221"/>
        <v>しない</v>
      </c>
      <c r="BI166" t="str">
        <f>""</f>
        <v/>
      </c>
      <c r="BJ166" t="str">
        <f t="shared" si="198"/>
        <v>MASTER01</v>
      </c>
      <c r="BK166" t="str">
        <f>"2022/04/19"</f>
        <v>2022/04/19</v>
      </c>
      <c r="BL166" t="str">
        <f t="shared" si="175"/>
        <v>NE00</v>
      </c>
      <c r="BM166" t="str">
        <f t="shared" si="176"/>
        <v>１工工務Ｇ</v>
      </c>
      <c r="BN166" t="str">
        <f t="shared" ref="BN166:BN195" si="233">"46548"</f>
        <v>46548</v>
      </c>
      <c r="BO166" t="str">
        <f t="shared" ref="BO166:BO195" si="234">"長畑　玲奈"</f>
        <v>長畑　玲奈</v>
      </c>
    </row>
    <row r="167" spans="1:67">
      <c r="A167" t="s">
        <v>252</v>
      </c>
      <c r="B167" t="str">
        <f>""</f>
        <v/>
      </c>
      <c r="C167" t="str">
        <f>""</f>
        <v/>
      </c>
      <c r="D167" t="s">
        <v>76</v>
      </c>
      <c r="E167" t="str">
        <f t="shared" si="162"/>
        <v>1Y</v>
      </c>
      <c r="F167" t="str">
        <f t="shared" si="163"/>
        <v>第１工場</v>
      </c>
      <c r="G167" t="str">
        <f t="shared" si="164"/>
        <v>手配</v>
      </c>
      <c r="H167" t="str">
        <f t="shared" si="165"/>
        <v>Ｐ</v>
      </c>
      <c r="I167" t="str">
        <f t="shared" si="224"/>
        <v>4241</v>
      </c>
      <c r="J167" t="str">
        <f t="shared" si="225"/>
        <v>ＮＯＫ（株）</v>
      </c>
      <c r="K167" t="str">
        <f t="shared" si="161"/>
        <v>01</v>
      </c>
      <c r="L167" t="str">
        <f>""</f>
        <v/>
      </c>
      <c r="M167" t="str">
        <f t="shared" si="222"/>
        <v>――</v>
      </c>
      <c r="N167" t="str">
        <f t="shared" si="215"/>
        <v>――</v>
      </c>
      <c r="O167" t="str">
        <f t="shared" si="166"/>
        <v>Ｍ</v>
      </c>
      <c r="P167" t="str">
        <f t="shared" si="167"/>
        <v>01</v>
      </c>
      <c r="Q167" t="str">
        <f t="shared" si="168"/>
        <v>第１</v>
      </c>
      <c r="R167" t="str">
        <f t="shared" si="169"/>
        <v>1Y</v>
      </c>
      <c r="S167" t="str">
        <f t="shared" si="170"/>
        <v>安城第１工場</v>
      </c>
      <c r="T167" t="str">
        <f t="shared" si="171"/>
        <v>直接</v>
      </c>
      <c r="U167" t="str">
        <f>""</f>
        <v/>
      </c>
      <c r="V167" t="str">
        <f>""</f>
        <v/>
      </c>
      <c r="W167" t="str">
        <f>""</f>
        <v/>
      </c>
      <c r="X167">
        <v>1</v>
      </c>
      <c r="Y167">
        <v>2</v>
      </c>
      <c r="Z167">
        <v>3.52</v>
      </c>
      <c r="AA167">
        <v>1.01</v>
      </c>
      <c r="AB167">
        <v>3</v>
      </c>
      <c r="AC167">
        <v>1.01</v>
      </c>
      <c r="AD167">
        <v>1.01</v>
      </c>
      <c r="AE167">
        <v>1.1000000000000001</v>
      </c>
      <c r="AF167">
        <v>0.5</v>
      </c>
      <c r="AG167" t="str">
        <f t="shared" si="226"/>
        <v>047</v>
      </c>
      <c r="AH167" t="str">
        <f t="shared" si="227"/>
        <v>ＮＯＫ（株）</v>
      </c>
      <c r="AI167" t="str">
        <f>"002"</f>
        <v>002</v>
      </c>
      <c r="AJ167" t="str">
        <f>"R-5-3"</f>
        <v>R-5-3</v>
      </c>
      <c r="AK167" t="str">
        <f>"10416"</f>
        <v>10416</v>
      </c>
      <c r="AL167" t="str">
        <f t="shared" ref="AL167:AL174" si="235">"1410"</f>
        <v>1410</v>
      </c>
      <c r="AM167" t="str">
        <f>"ﾘﾝｸﾞO"</f>
        <v>ﾘﾝｸﾞO</v>
      </c>
      <c r="AN167" t="str">
        <f t="shared" si="228"/>
        <v>012</v>
      </c>
      <c r="AO167" t="str">
        <f t="shared" si="229"/>
        <v>TP-131 ﾊﾝﾖｳ</v>
      </c>
      <c r="AP167">
        <v>2000</v>
      </c>
      <c r="AQ167" t="str">
        <f>""</f>
        <v/>
      </c>
      <c r="AR167" t="str">
        <f>""</f>
        <v/>
      </c>
      <c r="AS167" t="str">
        <f>""</f>
        <v/>
      </c>
      <c r="AT167" t="str">
        <f t="shared" si="172"/>
        <v>00</v>
      </c>
      <c r="AU167">
        <v>0.5</v>
      </c>
      <c r="AV167" t="str">
        <f>""</f>
        <v/>
      </c>
      <c r="AW167" t="str">
        <f t="shared" si="216"/>
        <v>08</v>
      </c>
      <c r="AX167" t="str">
        <f t="shared" si="217"/>
        <v>専用</v>
      </c>
      <c r="AY167" t="str">
        <f t="shared" si="218"/>
        <v>01</v>
      </c>
      <c r="AZ167" t="str">
        <f t="shared" si="219"/>
        <v>後補充</v>
      </c>
      <c r="BA167" t="str">
        <f>""</f>
        <v/>
      </c>
      <c r="BB167" t="str">
        <f t="shared" si="230"/>
        <v>ＴＰ１３１フタナシ</v>
      </c>
      <c r="BC167" t="str">
        <f t="shared" si="220"/>
        <v xml:space="preserve"> 335.000</v>
      </c>
      <c r="BD167" t="str">
        <f t="shared" si="231"/>
        <v xml:space="preserve"> 168.000</v>
      </c>
      <c r="BE167" t="str">
        <f t="shared" si="223"/>
        <v xml:space="preserve"> 103.000</v>
      </c>
      <c r="BF167" t="str">
        <f t="shared" si="232"/>
        <v xml:space="preserve">   0.006</v>
      </c>
      <c r="BG167" t="str">
        <f>"   0.600"</f>
        <v xml:space="preserve">   0.600</v>
      </c>
      <c r="BH167" t="str">
        <f t="shared" si="221"/>
        <v>しない</v>
      </c>
      <c r="BI167" t="str">
        <f>""</f>
        <v/>
      </c>
      <c r="BJ167" t="str">
        <f t="shared" si="198"/>
        <v>MASTER01</v>
      </c>
      <c r="BK167" t="str">
        <f>"2022/04/19"</f>
        <v>2022/04/19</v>
      </c>
      <c r="BL167" t="str">
        <f t="shared" si="175"/>
        <v>NE00</v>
      </c>
      <c r="BM167" t="str">
        <f t="shared" si="176"/>
        <v>１工工務Ｇ</v>
      </c>
      <c r="BN167" t="str">
        <f t="shared" si="233"/>
        <v>46548</v>
      </c>
      <c r="BO167" t="str">
        <f t="shared" si="234"/>
        <v>長畑　玲奈</v>
      </c>
    </row>
    <row r="168" spans="1:67">
      <c r="A168" t="s">
        <v>253</v>
      </c>
      <c r="B168" t="str">
        <f>""</f>
        <v/>
      </c>
      <c r="C168" t="str">
        <f>""</f>
        <v/>
      </c>
      <c r="D168" t="s">
        <v>76</v>
      </c>
      <c r="E168" t="str">
        <f t="shared" si="162"/>
        <v>1Y</v>
      </c>
      <c r="F168" t="str">
        <f t="shared" si="163"/>
        <v>第１工場</v>
      </c>
      <c r="G168" t="str">
        <f t="shared" si="164"/>
        <v>手配</v>
      </c>
      <c r="H168" t="str">
        <f t="shared" si="165"/>
        <v>Ｐ</v>
      </c>
      <c r="I168" t="str">
        <f t="shared" si="224"/>
        <v>4241</v>
      </c>
      <c r="J168" t="str">
        <f t="shared" si="225"/>
        <v>ＮＯＫ（株）</v>
      </c>
      <c r="K168" t="str">
        <f t="shared" si="161"/>
        <v>01</v>
      </c>
      <c r="L168" t="str">
        <f>""</f>
        <v/>
      </c>
      <c r="M168" t="str">
        <f t="shared" si="222"/>
        <v>――</v>
      </c>
      <c r="N168" t="str">
        <f t="shared" si="215"/>
        <v>――</v>
      </c>
      <c r="O168" t="str">
        <f t="shared" si="166"/>
        <v>Ｍ</v>
      </c>
      <c r="P168" t="str">
        <f t="shared" si="167"/>
        <v>01</v>
      </c>
      <c r="Q168" t="str">
        <f t="shared" si="168"/>
        <v>第１</v>
      </c>
      <c r="R168" t="str">
        <f t="shared" si="169"/>
        <v>1Y</v>
      </c>
      <c r="S168" t="str">
        <f t="shared" si="170"/>
        <v>安城第１工場</v>
      </c>
      <c r="T168" t="str">
        <f t="shared" si="171"/>
        <v>直接</v>
      </c>
      <c r="U168" t="str">
        <f>""</f>
        <v/>
      </c>
      <c r="V168" t="str">
        <f>""</f>
        <v/>
      </c>
      <c r="W168" t="str">
        <f>""</f>
        <v/>
      </c>
      <c r="X168">
        <v>1</v>
      </c>
      <c r="Y168">
        <v>2</v>
      </c>
      <c r="Z168">
        <v>3.52</v>
      </c>
      <c r="AA168">
        <v>1.01</v>
      </c>
      <c r="AB168">
        <v>3</v>
      </c>
      <c r="AC168">
        <v>1.01</v>
      </c>
      <c r="AD168">
        <v>1.01</v>
      </c>
      <c r="AE168">
        <v>1.1000000000000001</v>
      </c>
      <c r="AF168">
        <v>0.5</v>
      </c>
      <c r="AG168" t="str">
        <f t="shared" si="226"/>
        <v>047</v>
      </c>
      <c r="AH168" t="str">
        <f t="shared" si="227"/>
        <v>ＮＯＫ（株）</v>
      </c>
      <c r="AI168" t="str">
        <f>"003"</f>
        <v>003</v>
      </c>
      <c r="AJ168" t="str">
        <f>"R-6-3"</f>
        <v>R-6-3</v>
      </c>
      <c r="AK168" t="str">
        <f>"10417"</f>
        <v>10417</v>
      </c>
      <c r="AL168" t="str">
        <f t="shared" si="235"/>
        <v>1410</v>
      </c>
      <c r="AM168" t="str">
        <f>"ﾘﾝｸﾞO"</f>
        <v>ﾘﾝｸﾞO</v>
      </c>
      <c r="AN168" t="str">
        <f t="shared" si="228"/>
        <v>012</v>
      </c>
      <c r="AO168" t="str">
        <f t="shared" si="229"/>
        <v>TP-131 ﾊﾝﾖｳ</v>
      </c>
      <c r="AP168">
        <v>1000</v>
      </c>
      <c r="AQ168" t="str">
        <f>""</f>
        <v/>
      </c>
      <c r="AR168" t="str">
        <f>""</f>
        <v/>
      </c>
      <c r="AS168" t="str">
        <f>""</f>
        <v/>
      </c>
      <c r="AT168" t="str">
        <f t="shared" si="172"/>
        <v>00</v>
      </c>
      <c r="AU168">
        <v>0.5</v>
      </c>
      <c r="AV168" t="str">
        <f>""</f>
        <v/>
      </c>
      <c r="AW168" t="str">
        <f t="shared" si="216"/>
        <v>08</v>
      </c>
      <c r="AX168" t="str">
        <f t="shared" si="217"/>
        <v>専用</v>
      </c>
      <c r="AY168" t="str">
        <f t="shared" si="218"/>
        <v>01</v>
      </c>
      <c r="AZ168" t="str">
        <f t="shared" si="219"/>
        <v>後補充</v>
      </c>
      <c r="BA168" t="str">
        <f>""</f>
        <v/>
      </c>
      <c r="BB168" t="str">
        <f t="shared" si="230"/>
        <v>ＴＰ１３１フタナシ</v>
      </c>
      <c r="BC168" t="str">
        <f t="shared" si="220"/>
        <v xml:space="preserve"> 335.000</v>
      </c>
      <c r="BD168" t="str">
        <f t="shared" si="231"/>
        <v xml:space="preserve"> 168.000</v>
      </c>
      <c r="BE168" t="str">
        <f t="shared" si="223"/>
        <v xml:space="preserve"> 103.000</v>
      </c>
      <c r="BF168" t="str">
        <f t="shared" si="232"/>
        <v xml:space="preserve">   0.006</v>
      </c>
      <c r="BG168" t="str">
        <f>"   0.600"</f>
        <v xml:space="preserve">   0.600</v>
      </c>
      <c r="BH168" t="str">
        <f t="shared" si="221"/>
        <v>しない</v>
      </c>
      <c r="BI168" t="str">
        <f>""</f>
        <v/>
      </c>
      <c r="BJ168" t="str">
        <f t="shared" si="198"/>
        <v>MASTER01</v>
      </c>
      <c r="BK168" t="str">
        <f>"2022/04/19"</f>
        <v>2022/04/19</v>
      </c>
      <c r="BL168" t="str">
        <f t="shared" si="175"/>
        <v>NE00</v>
      </c>
      <c r="BM168" t="str">
        <f t="shared" si="176"/>
        <v>１工工務Ｇ</v>
      </c>
      <c r="BN168" t="str">
        <f t="shared" si="233"/>
        <v>46548</v>
      </c>
      <c r="BO168" t="str">
        <f t="shared" si="234"/>
        <v>長畑　玲奈</v>
      </c>
    </row>
    <row r="169" spans="1:67">
      <c r="A169" t="s">
        <v>254</v>
      </c>
      <c r="B169" t="str">
        <f>""</f>
        <v/>
      </c>
      <c r="C169" t="str">
        <f>""</f>
        <v/>
      </c>
      <c r="D169" t="s">
        <v>76</v>
      </c>
      <c r="E169" t="str">
        <f t="shared" si="162"/>
        <v>1Y</v>
      </c>
      <c r="F169" t="str">
        <f t="shared" si="163"/>
        <v>第１工場</v>
      </c>
      <c r="G169" t="str">
        <f t="shared" si="164"/>
        <v>手配</v>
      </c>
      <c r="H169" t="str">
        <f t="shared" si="165"/>
        <v>Ｐ</v>
      </c>
      <c r="I169" t="str">
        <f t="shared" si="224"/>
        <v>4241</v>
      </c>
      <c r="J169" t="str">
        <f t="shared" si="225"/>
        <v>ＮＯＫ（株）</v>
      </c>
      <c r="K169" t="str">
        <f t="shared" si="161"/>
        <v>01</v>
      </c>
      <c r="L169" t="str">
        <f>""</f>
        <v/>
      </c>
      <c r="M169" t="str">
        <f t="shared" si="222"/>
        <v>――</v>
      </c>
      <c r="N169" t="str">
        <f t="shared" si="215"/>
        <v>――</v>
      </c>
      <c r="O169" t="str">
        <f t="shared" si="166"/>
        <v>Ｍ</v>
      </c>
      <c r="P169" t="str">
        <f t="shared" si="167"/>
        <v>01</v>
      </c>
      <c r="Q169" t="str">
        <f t="shared" si="168"/>
        <v>第１</v>
      </c>
      <c r="R169" t="str">
        <f t="shared" si="169"/>
        <v>1Y</v>
      </c>
      <c r="S169" t="str">
        <f t="shared" si="170"/>
        <v>安城第１工場</v>
      </c>
      <c r="T169" t="str">
        <f t="shared" si="171"/>
        <v>直接</v>
      </c>
      <c r="U169" t="str">
        <f>""</f>
        <v/>
      </c>
      <c r="V169" t="str">
        <f>""</f>
        <v/>
      </c>
      <c r="W169" t="str">
        <f>""</f>
        <v/>
      </c>
      <c r="X169">
        <v>1</v>
      </c>
      <c r="Y169">
        <v>2</v>
      </c>
      <c r="Z169">
        <v>3.52</v>
      </c>
      <c r="AA169">
        <v>1.01</v>
      </c>
      <c r="AB169">
        <v>3</v>
      </c>
      <c r="AC169">
        <v>1.01</v>
      </c>
      <c r="AD169">
        <v>1.01</v>
      </c>
      <c r="AE169">
        <v>1.1000000000000001</v>
      </c>
      <c r="AF169">
        <v>0.5</v>
      </c>
      <c r="AG169" t="str">
        <f t="shared" si="226"/>
        <v>047</v>
      </c>
      <c r="AH169" t="str">
        <f t="shared" si="227"/>
        <v>ＮＯＫ（株）</v>
      </c>
      <c r="AI169" t="str">
        <f>"008"</f>
        <v>008</v>
      </c>
      <c r="AJ169" t="str">
        <f>"R-2-2"</f>
        <v>R-2-2</v>
      </c>
      <c r="AK169" t="str">
        <f>"10414"</f>
        <v>10414</v>
      </c>
      <c r="AL169" t="str">
        <f t="shared" si="235"/>
        <v>1410</v>
      </c>
      <c r="AM169" t="str">
        <f>"ﾘﾝｸﾞO"</f>
        <v>ﾘﾝｸﾞO</v>
      </c>
      <c r="AN169" t="str">
        <f t="shared" si="228"/>
        <v>012</v>
      </c>
      <c r="AO169" t="str">
        <f t="shared" si="229"/>
        <v>TP-131 ﾊﾝﾖｳ</v>
      </c>
      <c r="AP169">
        <v>1000</v>
      </c>
      <c r="AQ169" t="str">
        <f>""</f>
        <v/>
      </c>
      <c r="AR169" t="str">
        <f>""</f>
        <v/>
      </c>
      <c r="AS169" t="str">
        <f>""</f>
        <v/>
      </c>
      <c r="AT169" t="str">
        <f t="shared" si="172"/>
        <v>00</v>
      </c>
      <c r="AU169">
        <v>0.5</v>
      </c>
      <c r="AV169" t="str">
        <f>""</f>
        <v/>
      </c>
      <c r="AW169" t="str">
        <f t="shared" si="216"/>
        <v>08</v>
      </c>
      <c r="AX169" t="str">
        <f t="shared" si="217"/>
        <v>専用</v>
      </c>
      <c r="AY169" t="str">
        <f t="shared" si="218"/>
        <v>01</v>
      </c>
      <c r="AZ169" t="str">
        <f t="shared" si="219"/>
        <v>後補充</v>
      </c>
      <c r="BA169" t="str">
        <f>""</f>
        <v/>
      </c>
      <c r="BB169" t="str">
        <f t="shared" si="230"/>
        <v>ＴＰ１３１フタナシ</v>
      </c>
      <c r="BC169" t="str">
        <f t="shared" si="220"/>
        <v xml:space="preserve"> 335.000</v>
      </c>
      <c r="BD169" t="str">
        <f t="shared" si="231"/>
        <v xml:space="preserve"> 168.000</v>
      </c>
      <c r="BE169" t="str">
        <f t="shared" si="223"/>
        <v xml:space="preserve"> 103.000</v>
      </c>
      <c r="BF169" t="str">
        <f t="shared" si="232"/>
        <v xml:space="preserve">   0.006</v>
      </c>
      <c r="BG169" t="str">
        <f>"   0.700"</f>
        <v xml:space="preserve">   0.700</v>
      </c>
      <c r="BH169" t="str">
        <f t="shared" si="221"/>
        <v>しない</v>
      </c>
      <c r="BI169" t="str">
        <f>""</f>
        <v/>
      </c>
      <c r="BJ169" t="str">
        <f t="shared" si="198"/>
        <v>MASTER01</v>
      </c>
      <c r="BK169" t="str">
        <f>"2022/04/19"</f>
        <v>2022/04/19</v>
      </c>
      <c r="BL169" t="str">
        <f t="shared" si="175"/>
        <v>NE00</v>
      </c>
      <c r="BM169" t="str">
        <f t="shared" si="176"/>
        <v>１工工務Ｇ</v>
      </c>
      <c r="BN169" t="str">
        <f t="shared" si="233"/>
        <v>46548</v>
      </c>
      <c r="BO169" t="str">
        <f t="shared" si="234"/>
        <v>長畑　玲奈</v>
      </c>
    </row>
    <row r="170" spans="1:67">
      <c r="A170" t="s">
        <v>255</v>
      </c>
      <c r="B170" t="str">
        <f>""</f>
        <v/>
      </c>
      <c r="C170" t="str">
        <f>""</f>
        <v/>
      </c>
      <c r="D170" t="s">
        <v>76</v>
      </c>
      <c r="E170" t="str">
        <f t="shared" si="162"/>
        <v>1Y</v>
      </c>
      <c r="F170" t="str">
        <f t="shared" si="163"/>
        <v>第１工場</v>
      </c>
      <c r="G170" t="str">
        <f t="shared" si="164"/>
        <v>手配</v>
      </c>
      <c r="H170" t="str">
        <f t="shared" si="165"/>
        <v>Ｐ</v>
      </c>
      <c r="I170" t="str">
        <f t="shared" si="224"/>
        <v>4241</v>
      </c>
      <c r="J170" t="str">
        <f t="shared" si="225"/>
        <v>ＮＯＫ（株）</v>
      </c>
      <c r="K170" t="str">
        <f t="shared" si="161"/>
        <v>01</v>
      </c>
      <c r="L170" t="str">
        <f>""</f>
        <v/>
      </c>
      <c r="M170" t="str">
        <f t="shared" si="222"/>
        <v>――</v>
      </c>
      <c r="N170" t="str">
        <f t="shared" si="215"/>
        <v>――</v>
      </c>
      <c r="O170" t="str">
        <f t="shared" si="166"/>
        <v>Ｍ</v>
      </c>
      <c r="P170" t="str">
        <f t="shared" si="167"/>
        <v>01</v>
      </c>
      <c r="Q170" t="str">
        <f t="shared" si="168"/>
        <v>第１</v>
      </c>
      <c r="R170" t="str">
        <f t="shared" si="169"/>
        <v>1Y</v>
      </c>
      <c r="S170" t="str">
        <f t="shared" si="170"/>
        <v>安城第１工場</v>
      </c>
      <c r="T170" t="str">
        <f t="shared" si="171"/>
        <v>直接</v>
      </c>
      <c r="U170" t="str">
        <f>""</f>
        <v/>
      </c>
      <c r="V170" t="str">
        <f>""</f>
        <v/>
      </c>
      <c r="W170" t="str">
        <f>""</f>
        <v/>
      </c>
      <c r="X170">
        <v>1</v>
      </c>
      <c r="Y170">
        <v>2</v>
      </c>
      <c r="Z170">
        <v>3.52</v>
      </c>
      <c r="AA170">
        <v>1.01</v>
      </c>
      <c r="AB170">
        <v>3</v>
      </c>
      <c r="AC170">
        <v>1.01</v>
      </c>
      <c r="AD170">
        <v>1.01</v>
      </c>
      <c r="AE170">
        <v>1.1000000000000001</v>
      </c>
      <c r="AF170">
        <v>0.5</v>
      </c>
      <c r="AG170" t="str">
        <f t="shared" si="226"/>
        <v>047</v>
      </c>
      <c r="AH170" t="str">
        <f t="shared" si="227"/>
        <v>ＮＯＫ（株）</v>
      </c>
      <c r="AI170" t="str">
        <f>"011"</f>
        <v>011</v>
      </c>
      <c r="AJ170" t="str">
        <f>""</f>
        <v/>
      </c>
      <c r="AK170" t="str">
        <f>""</f>
        <v/>
      </c>
      <c r="AL170" t="str">
        <f t="shared" si="235"/>
        <v>1410</v>
      </c>
      <c r="AM170" t="str">
        <f>"ﾘﾝｸﾞ O"</f>
        <v>ﾘﾝｸﾞ O</v>
      </c>
      <c r="AN170" t="str">
        <f t="shared" si="228"/>
        <v>012</v>
      </c>
      <c r="AO170" t="str">
        <f t="shared" si="229"/>
        <v>TP-131 ﾊﾝﾖｳ</v>
      </c>
      <c r="AP170">
        <v>1000</v>
      </c>
      <c r="AQ170" t="str">
        <f>""</f>
        <v/>
      </c>
      <c r="AR170" t="str">
        <f>""</f>
        <v/>
      </c>
      <c r="AS170" t="str">
        <f>""</f>
        <v/>
      </c>
      <c r="AT170" t="str">
        <f t="shared" si="172"/>
        <v>00</v>
      </c>
      <c r="AU170">
        <v>0.5</v>
      </c>
      <c r="AV170" t="str">
        <f>""</f>
        <v/>
      </c>
      <c r="AW170" t="str">
        <f>""</f>
        <v/>
      </c>
      <c r="AX170" t="str">
        <f>""</f>
        <v/>
      </c>
      <c r="AY170" t="str">
        <f>""</f>
        <v/>
      </c>
      <c r="AZ170" t="str">
        <f>""</f>
        <v/>
      </c>
      <c r="BA170" t="str">
        <f>""</f>
        <v/>
      </c>
      <c r="BB170" t="str">
        <f t="shared" si="230"/>
        <v>ＴＰ１３１フタナシ</v>
      </c>
      <c r="BC170" t="str">
        <f t="shared" si="220"/>
        <v xml:space="preserve"> 335.000</v>
      </c>
      <c r="BD170" t="str">
        <f t="shared" si="231"/>
        <v xml:space="preserve"> 168.000</v>
      </c>
      <c r="BE170" t="str">
        <f t="shared" si="223"/>
        <v xml:space="preserve"> 103.000</v>
      </c>
      <c r="BF170" t="str">
        <f t="shared" si="232"/>
        <v xml:space="preserve">   0.006</v>
      </c>
      <c r="BG170" t="str">
        <f>"   0.800"</f>
        <v xml:space="preserve">   0.800</v>
      </c>
      <c r="BH170" t="str">
        <f t="shared" si="221"/>
        <v>しない</v>
      </c>
      <c r="BI170" t="str">
        <f>""</f>
        <v/>
      </c>
      <c r="BJ170" t="str">
        <f t="shared" si="198"/>
        <v>MASTER01</v>
      </c>
      <c r="BK170" t="str">
        <f>"2023/01/17"</f>
        <v>2023/01/17</v>
      </c>
      <c r="BL170" t="str">
        <f t="shared" si="175"/>
        <v>NE00</v>
      </c>
      <c r="BM170" t="str">
        <f t="shared" si="176"/>
        <v>１工工務Ｇ</v>
      </c>
      <c r="BN170" t="str">
        <f t="shared" si="233"/>
        <v>46548</v>
      </c>
      <c r="BO170" t="str">
        <f t="shared" si="234"/>
        <v>長畑　玲奈</v>
      </c>
    </row>
    <row r="171" spans="1:67">
      <c r="A171" t="s">
        <v>256</v>
      </c>
      <c r="B171" t="str">
        <f>""</f>
        <v/>
      </c>
      <c r="C171" t="str">
        <f>""</f>
        <v/>
      </c>
      <c r="D171" t="s">
        <v>76</v>
      </c>
      <c r="E171" t="str">
        <f t="shared" si="162"/>
        <v>1Y</v>
      </c>
      <c r="F171" t="str">
        <f t="shared" si="163"/>
        <v>第１工場</v>
      </c>
      <c r="G171" t="str">
        <f t="shared" si="164"/>
        <v>手配</v>
      </c>
      <c r="H171" t="str">
        <f t="shared" si="165"/>
        <v>Ｐ</v>
      </c>
      <c r="I171" t="str">
        <f t="shared" si="224"/>
        <v>4241</v>
      </c>
      <c r="J171" t="str">
        <f t="shared" si="225"/>
        <v>ＮＯＫ（株）</v>
      </c>
      <c r="K171" t="str">
        <f t="shared" si="161"/>
        <v>01</v>
      </c>
      <c r="L171" t="str">
        <f>""</f>
        <v/>
      </c>
      <c r="M171" t="str">
        <f t="shared" si="222"/>
        <v>――</v>
      </c>
      <c r="N171" t="str">
        <f t="shared" si="215"/>
        <v>――</v>
      </c>
      <c r="O171" t="str">
        <f t="shared" si="166"/>
        <v>Ｍ</v>
      </c>
      <c r="P171" t="str">
        <f t="shared" si="167"/>
        <v>01</v>
      </c>
      <c r="Q171" t="str">
        <f t="shared" si="168"/>
        <v>第１</v>
      </c>
      <c r="R171" t="str">
        <f t="shared" si="169"/>
        <v>1Y</v>
      </c>
      <c r="S171" t="str">
        <f t="shared" si="170"/>
        <v>安城第１工場</v>
      </c>
      <c r="T171" t="str">
        <f t="shared" si="171"/>
        <v>直接</v>
      </c>
      <c r="U171" t="str">
        <f>""</f>
        <v/>
      </c>
      <c r="V171" t="str">
        <f>""</f>
        <v/>
      </c>
      <c r="W171" t="str">
        <f>""</f>
        <v/>
      </c>
      <c r="X171">
        <v>1</v>
      </c>
      <c r="Y171">
        <v>2</v>
      </c>
      <c r="Z171">
        <v>3.52</v>
      </c>
      <c r="AA171">
        <v>1.01</v>
      </c>
      <c r="AB171">
        <v>3</v>
      </c>
      <c r="AC171">
        <v>1.01</v>
      </c>
      <c r="AD171">
        <v>1.01</v>
      </c>
      <c r="AE171">
        <v>1.1000000000000001</v>
      </c>
      <c r="AF171">
        <v>0.5</v>
      </c>
      <c r="AG171" t="str">
        <f t="shared" si="226"/>
        <v>047</v>
      </c>
      <c r="AH171" t="str">
        <f t="shared" si="227"/>
        <v>ＮＯＫ（株）</v>
      </c>
      <c r="AI171" t="str">
        <f>"004"</f>
        <v>004</v>
      </c>
      <c r="AJ171" t="str">
        <f>"R-1-2"</f>
        <v>R-1-2</v>
      </c>
      <c r="AK171" t="str">
        <f>"10418"</f>
        <v>10418</v>
      </c>
      <c r="AL171" t="str">
        <f t="shared" si="235"/>
        <v>1410</v>
      </c>
      <c r="AM171" t="str">
        <f>"ﾘﾝｸﾞO"</f>
        <v>ﾘﾝｸﾞO</v>
      </c>
      <c r="AN171" t="str">
        <f t="shared" si="228"/>
        <v>012</v>
      </c>
      <c r="AO171" t="str">
        <f t="shared" si="229"/>
        <v>TP-131 ﾊﾝﾖｳ</v>
      </c>
      <c r="AP171">
        <v>1000</v>
      </c>
      <c r="AQ171" t="str">
        <f>""</f>
        <v/>
      </c>
      <c r="AR171" t="str">
        <f>""</f>
        <v/>
      </c>
      <c r="AS171" t="str">
        <f>""</f>
        <v/>
      </c>
      <c r="AT171" t="str">
        <f t="shared" si="172"/>
        <v>00</v>
      </c>
      <c r="AU171">
        <v>0.5</v>
      </c>
      <c r="AV171" t="str">
        <f>""</f>
        <v/>
      </c>
      <c r="AW171" t="str">
        <f>"08"</f>
        <v>08</v>
      </c>
      <c r="AX171" t="str">
        <f>"専用"</f>
        <v>専用</v>
      </c>
      <c r="AY171" t="str">
        <f>"01"</f>
        <v>01</v>
      </c>
      <c r="AZ171" t="str">
        <f>"後補充"</f>
        <v>後補充</v>
      </c>
      <c r="BA171" t="str">
        <f>""</f>
        <v/>
      </c>
      <c r="BB171" t="str">
        <f t="shared" si="230"/>
        <v>ＴＰ１３１フタナシ</v>
      </c>
      <c r="BC171" t="str">
        <f t="shared" si="220"/>
        <v xml:space="preserve"> 335.000</v>
      </c>
      <c r="BD171" t="str">
        <f t="shared" si="231"/>
        <v xml:space="preserve"> 168.000</v>
      </c>
      <c r="BE171" t="str">
        <f t="shared" si="223"/>
        <v xml:space="preserve"> 103.000</v>
      </c>
      <c r="BF171" t="str">
        <f t="shared" si="232"/>
        <v xml:space="preserve">   0.006</v>
      </c>
      <c r="BG171" t="str">
        <f>"   0.800"</f>
        <v xml:space="preserve">   0.800</v>
      </c>
      <c r="BH171" t="str">
        <f t="shared" si="221"/>
        <v>しない</v>
      </c>
      <c r="BI171" t="str">
        <f>""</f>
        <v/>
      </c>
      <c r="BJ171" t="str">
        <f t="shared" si="198"/>
        <v>MASTER01</v>
      </c>
      <c r="BK171" t="str">
        <f>"2022/04/19"</f>
        <v>2022/04/19</v>
      </c>
      <c r="BL171" t="str">
        <f t="shared" si="175"/>
        <v>NE00</v>
      </c>
      <c r="BM171" t="str">
        <f t="shared" si="176"/>
        <v>１工工務Ｇ</v>
      </c>
      <c r="BN171" t="str">
        <f t="shared" si="233"/>
        <v>46548</v>
      </c>
      <c r="BO171" t="str">
        <f t="shared" si="234"/>
        <v>長畑　玲奈</v>
      </c>
    </row>
    <row r="172" spans="1:67">
      <c r="A172" t="s">
        <v>257</v>
      </c>
      <c r="B172" t="str">
        <f>""</f>
        <v/>
      </c>
      <c r="C172" t="str">
        <f>""</f>
        <v/>
      </c>
      <c r="D172" t="s">
        <v>76</v>
      </c>
      <c r="E172" t="str">
        <f t="shared" si="162"/>
        <v>1Y</v>
      </c>
      <c r="F172" t="str">
        <f t="shared" si="163"/>
        <v>第１工場</v>
      </c>
      <c r="G172" t="str">
        <f t="shared" si="164"/>
        <v>手配</v>
      </c>
      <c r="H172" t="str">
        <f t="shared" si="165"/>
        <v>Ｐ</v>
      </c>
      <c r="I172" t="str">
        <f t="shared" si="224"/>
        <v>4241</v>
      </c>
      <c r="J172" t="str">
        <f t="shared" si="225"/>
        <v>ＮＯＫ（株）</v>
      </c>
      <c r="K172" t="str">
        <f t="shared" si="161"/>
        <v>01</v>
      </c>
      <c r="L172" t="str">
        <f>""</f>
        <v/>
      </c>
      <c r="M172" t="str">
        <f t="shared" si="222"/>
        <v>――</v>
      </c>
      <c r="N172" t="str">
        <f t="shared" si="215"/>
        <v>――</v>
      </c>
      <c r="O172" t="str">
        <f t="shared" si="166"/>
        <v>Ｍ</v>
      </c>
      <c r="P172" t="str">
        <f t="shared" si="167"/>
        <v>01</v>
      </c>
      <c r="Q172" t="str">
        <f t="shared" si="168"/>
        <v>第１</v>
      </c>
      <c r="R172" t="str">
        <f t="shared" si="169"/>
        <v>1Y</v>
      </c>
      <c r="S172" t="str">
        <f t="shared" si="170"/>
        <v>安城第１工場</v>
      </c>
      <c r="T172" t="str">
        <f t="shared" si="171"/>
        <v>直接</v>
      </c>
      <c r="U172" t="str">
        <f>""</f>
        <v/>
      </c>
      <c r="V172" t="str">
        <f>""</f>
        <v/>
      </c>
      <c r="W172" t="str">
        <f>""</f>
        <v/>
      </c>
      <c r="X172">
        <v>1</v>
      </c>
      <c r="Y172">
        <v>2</v>
      </c>
      <c r="Z172">
        <v>3.52</v>
      </c>
      <c r="AA172">
        <v>1.01</v>
      </c>
      <c r="AB172">
        <v>3</v>
      </c>
      <c r="AC172">
        <v>1.01</v>
      </c>
      <c r="AD172">
        <v>1.01</v>
      </c>
      <c r="AE172">
        <v>1.1000000000000001</v>
      </c>
      <c r="AF172">
        <v>0.5</v>
      </c>
      <c r="AG172" t="str">
        <f t="shared" si="226"/>
        <v>047</v>
      </c>
      <c r="AH172" t="str">
        <f t="shared" si="227"/>
        <v>ＮＯＫ（株）</v>
      </c>
      <c r="AI172" t="str">
        <f>"009"</f>
        <v>009</v>
      </c>
      <c r="AJ172" t="str">
        <f>"C1-2"</f>
        <v>C1-2</v>
      </c>
      <c r="AK172" t="str">
        <f>"10415"</f>
        <v>10415</v>
      </c>
      <c r="AL172" t="str">
        <f t="shared" si="235"/>
        <v>1410</v>
      </c>
      <c r="AM172" t="str">
        <f>"ﾘﾝｸﾞO"</f>
        <v>ﾘﾝｸﾞO</v>
      </c>
      <c r="AN172" t="str">
        <f t="shared" si="228"/>
        <v>012</v>
      </c>
      <c r="AO172" t="str">
        <f t="shared" si="229"/>
        <v>TP-131 ﾊﾝﾖｳ</v>
      </c>
      <c r="AP172">
        <v>1000</v>
      </c>
      <c r="AQ172" t="str">
        <f>""</f>
        <v/>
      </c>
      <c r="AR172" t="str">
        <f>""</f>
        <v/>
      </c>
      <c r="AS172" t="str">
        <f>""</f>
        <v/>
      </c>
      <c r="AT172" t="str">
        <f t="shared" si="172"/>
        <v>00</v>
      </c>
      <c r="AU172">
        <v>0.5</v>
      </c>
      <c r="AV172" t="str">
        <f>""</f>
        <v/>
      </c>
      <c r="AW172" t="str">
        <f>"08"</f>
        <v>08</v>
      </c>
      <c r="AX172" t="str">
        <f>"専用"</f>
        <v>専用</v>
      </c>
      <c r="AY172" t="str">
        <f>"01"</f>
        <v>01</v>
      </c>
      <c r="AZ172" t="str">
        <f>"後補充"</f>
        <v>後補充</v>
      </c>
      <c r="BA172" t="str">
        <f>""</f>
        <v/>
      </c>
      <c r="BB172" t="str">
        <f t="shared" si="230"/>
        <v>ＴＰ１３１フタナシ</v>
      </c>
      <c r="BC172" t="str">
        <f t="shared" si="220"/>
        <v xml:space="preserve"> 335.000</v>
      </c>
      <c r="BD172" t="str">
        <f t="shared" si="231"/>
        <v xml:space="preserve"> 168.000</v>
      </c>
      <c r="BE172" t="str">
        <f t="shared" si="223"/>
        <v xml:space="preserve"> 103.000</v>
      </c>
      <c r="BF172" t="str">
        <f t="shared" si="232"/>
        <v xml:space="preserve">   0.006</v>
      </c>
      <c r="BG172" t="str">
        <f>"   0.800"</f>
        <v xml:space="preserve">   0.800</v>
      </c>
      <c r="BH172" t="str">
        <f t="shared" si="221"/>
        <v>しない</v>
      </c>
      <c r="BI172" t="str">
        <f>""</f>
        <v/>
      </c>
      <c r="BJ172" t="str">
        <f t="shared" si="198"/>
        <v>MASTER01</v>
      </c>
      <c r="BK172" t="str">
        <f>"2022/04/19"</f>
        <v>2022/04/19</v>
      </c>
      <c r="BL172" t="str">
        <f t="shared" si="175"/>
        <v>NE00</v>
      </c>
      <c r="BM172" t="str">
        <f t="shared" si="176"/>
        <v>１工工務Ｇ</v>
      </c>
      <c r="BN172" t="str">
        <f t="shared" si="233"/>
        <v>46548</v>
      </c>
      <c r="BO172" t="str">
        <f t="shared" si="234"/>
        <v>長畑　玲奈</v>
      </c>
    </row>
    <row r="173" spans="1:67">
      <c r="A173" t="s">
        <v>258</v>
      </c>
      <c r="B173" t="str">
        <f>""</f>
        <v/>
      </c>
      <c r="C173" t="str">
        <f>""</f>
        <v/>
      </c>
      <c r="D173" t="s">
        <v>76</v>
      </c>
      <c r="E173" t="str">
        <f t="shared" si="162"/>
        <v>1Y</v>
      </c>
      <c r="F173" t="str">
        <f t="shared" si="163"/>
        <v>第１工場</v>
      </c>
      <c r="G173" t="str">
        <f t="shared" si="164"/>
        <v>手配</v>
      </c>
      <c r="H173" t="str">
        <f t="shared" si="165"/>
        <v>Ｐ</v>
      </c>
      <c r="I173" t="str">
        <f t="shared" si="224"/>
        <v>4241</v>
      </c>
      <c r="J173" t="str">
        <f t="shared" si="225"/>
        <v>ＮＯＫ（株）</v>
      </c>
      <c r="K173" t="str">
        <f t="shared" si="161"/>
        <v>01</v>
      </c>
      <c r="L173" t="str">
        <f>""</f>
        <v/>
      </c>
      <c r="M173" t="str">
        <f t="shared" si="222"/>
        <v>――</v>
      </c>
      <c r="N173" t="str">
        <f t="shared" si="215"/>
        <v>――</v>
      </c>
      <c r="O173" t="str">
        <f t="shared" si="166"/>
        <v>Ｍ</v>
      </c>
      <c r="P173" t="str">
        <f t="shared" si="167"/>
        <v>01</v>
      </c>
      <c r="Q173" t="str">
        <f t="shared" si="168"/>
        <v>第１</v>
      </c>
      <c r="R173" t="str">
        <f t="shared" si="169"/>
        <v>1Y</v>
      </c>
      <c r="S173" t="str">
        <f t="shared" si="170"/>
        <v>安城第１工場</v>
      </c>
      <c r="T173" t="str">
        <f t="shared" si="171"/>
        <v>直接</v>
      </c>
      <c r="U173" t="str">
        <f>""</f>
        <v/>
      </c>
      <c r="V173" t="str">
        <f>""</f>
        <v/>
      </c>
      <c r="W173" t="str">
        <f>""</f>
        <v/>
      </c>
      <c r="X173">
        <v>1</v>
      </c>
      <c r="Y173">
        <v>2</v>
      </c>
      <c r="Z173">
        <v>3.52</v>
      </c>
      <c r="AA173">
        <v>1.01</v>
      </c>
      <c r="AB173">
        <v>3</v>
      </c>
      <c r="AC173">
        <v>1.01</v>
      </c>
      <c r="AD173">
        <v>1.01</v>
      </c>
      <c r="AE173">
        <v>1.1000000000000001</v>
      </c>
      <c r="AF173">
        <v>0.5</v>
      </c>
      <c r="AG173" t="str">
        <f t="shared" si="226"/>
        <v>047</v>
      </c>
      <c r="AH173" t="str">
        <f t="shared" si="227"/>
        <v>ＮＯＫ（株）</v>
      </c>
      <c r="AI173" t="str">
        <f>"005"</f>
        <v>005</v>
      </c>
      <c r="AJ173" t="str">
        <f>"C1-1"</f>
        <v>C1-1</v>
      </c>
      <c r="AK173" t="str">
        <f>"10413"</f>
        <v>10413</v>
      </c>
      <c r="AL173" t="str">
        <f t="shared" si="235"/>
        <v>1410</v>
      </c>
      <c r="AM173" t="str">
        <f>"ﾘﾝｸﾞO"</f>
        <v>ﾘﾝｸﾞO</v>
      </c>
      <c r="AN173" t="str">
        <f t="shared" si="228"/>
        <v>012</v>
      </c>
      <c r="AO173" t="str">
        <f t="shared" si="229"/>
        <v>TP-131 ﾊﾝﾖｳ</v>
      </c>
      <c r="AP173">
        <v>200</v>
      </c>
      <c r="AQ173" t="str">
        <f>""</f>
        <v/>
      </c>
      <c r="AR173" t="str">
        <f>""</f>
        <v/>
      </c>
      <c r="AS173" t="str">
        <f>""</f>
        <v/>
      </c>
      <c r="AT173" t="str">
        <f t="shared" si="172"/>
        <v>00</v>
      </c>
      <c r="AU173">
        <v>0.5</v>
      </c>
      <c r="AV173" t="str">
        <f>""</f>
        <v/>
      </c>
      <c r="AW173" t="str">
        <f>"08"</f>
        <v>08</v>
      </c>
      <c r="AX173" t="str">
        <f>"専用"</f>
        <v>専用</v>
      </c>
      <c r="AY173" t="str">
        <f>"01"</f>
        <v>01</v>
      </c>
      <c r="AZ173" t="str">
        <f>"後補充"</f>
        <v>後補充</v>
      </c>
      <c r="BA173" t="str">
        <f>""</f>
        <v/>
      </c>
      <c r="BB173" t="str">
        <f t="shared" si="230"/>
        <v>ＴＰ１３１フタナシ</v>
      </c>
      <c r="BC173" t="str">
        <f t="shared" si="220"/>
        <v xml:space="preserve"> 335.000</v>
      </c>
      <c r="BD173" t="str">
        <f t="shared" si="231"/>
        <v xml:space="preserve"> 168.000</v>
      </c>
      <c r="BE173" t="str">
        <f t="shared" si="223"/>
        <v xml:space="preserve"> 103.000</v>
      </c>
      <c r="BF173" t="str">
        <f t="shared" si="232"/>
        <v xml:space="preserve">   0.006</v>
      </c>
      <c r="BG173" t="str">
        <f>"   0.580"</f>
        <v xml:space="preserve">   0.580</v>
      </c>
      <c r="BH173" t="str">
        <f t="shared" si="221"/>
        <v>しない</v>
      </c>
      <c r="BI173" t="str">
        <f>""</f>
        <v/>
      </c>
      <c r="BJ173" t="str">
        <f t="shared" si="198"/>
        <v>MASTER01</v>
      </c>
      <c r="BK173" t="str">
        <f>"2022/04/19"</f>
        <v>2022/04/19</v>
      </c>
      <c r="BL173" t="str">
        <f t="shared" si="175"/>
        <v>NE00</v>
      </c>
      <c r="BM173" t="str">
        <f t="shared" si="176"/>
        <v>１工工務Ｇ</v>
      </c>
      <c r="BN173" t="str">
        <f t="shared" si="233"/>
        <v>46548</v>
      </c>
      <c r="BO173" t="str">
        <f t="shared" si="234"/>
        <v>長畑　玲奈</v>
      </c>
    </row>
    <row r="174" spans="1:67">
      <c r="A174" t="s">
        <v>259</v>
      </c>
      <c r="B174" t="str">
        <f>""</f>
        <v/>
      </c>
      <c r="C174" t="str">
        <f>""</f>
        <v/>
      </c>
      <c r="D174" t="s">
        <v>76</v>
      </c>
      <c r="E174" t="str">
        <f t="shared" si="162"/>
        <v>1Y</v>
      </c>
      <c r="F174" t="str">
        <f t="shared" si="163"/>
        <v>第１工場</v>
      </c>
      <c r="G174" t="str">
        <f t="shared" si="164"/>
        <v>手配</v>
      </c>
      <c r="H174" t="str">
        <f t="shared" si="165"/>
        <v>Ｐ</v>
      </c>
      <c r="I174" t="str">
        <f t="shared" si="224"/>
        <v>4241</v>
      </c>
      <c r="J174" t="str">
        <f t="shared" si="225"/>
        <v>ＮＯＫ（株）</v>
      </c>
      <c r="K174" t="str">
        <f t="shared" si="161"/>
        <v>01</v>
      </c>
      <c r="L174" t="str">
        <f>""</f>
        <v/>
      </c>
      <c r="M174" t="str">
        <f t="shared" si="222"/>
        <v>――</v>
      </c>
      <c r="N174" t="str">
        <f t="shared" si="215"/>
        <v>――</v>
      </c>
      <c r="O174" t="str">
        <f t="shared" si="166"/>
        <v>Ｍ</v>
      </c>
      <c r="P174" t="str">
        <f t="shared" si="167"/>
        <v>01</v>
      </c>
      <c r="Q174" t="str">
        <f t="shared" si="168"/>
        <v>第１</v>
      </c>
      <c r="R174" t="str">
        <f t="shared" si="169"/>
        <v>1Y</v>
      </c>
      <c r="S174" t="str">
        <f t="shared" si="170"/>
        <v>安城第１工場</v>
      </c>
      <c r="T174" t="str">
        <f t="shared" si="171"/>
        <v>直接</v>
      </c>
      <c r="U174" t="str">
        <f>""</f>
        <v/>
      </c>
      <c r="V174" t="str">
        <f>""</f>
        <v/>
      </c>
      <c r="W174" t="str">
        <f>""</f>
        <v/>
      </c>
      <c r="X174">
        <v>1</v>
      </c>
      <c r="Y174">
        <v>2</v>
      </c>
      <c r="Z174">
        <v>3.52</v>
      </c>
      <c r="AA174">
        <v>1.01</v>
      </c>
      <c r="AB174">
        <v>3</v>
      </c>
      <c r="AC174">
        <v>1.01</v>
      </c>
      <c r="AD174">
        <v>1.01</v>
      </c>
      <c r="AE174">
        <v>1.1000000000000001</v>
      </c>
      <c r="AF174">
        <v>0.5</v>
      </c>
      <c r="AG174" t="str">
        <f t="shared" si="226"/>
        <v>047</v>
      </c>
      <c r="AH174" t="str">
        <f t="shared" si="227"/>
        <v>ＮＯＫ（株）</v>
      </c>
      <c r="AI174" t="str">
        <f>"012"</f>
        <v>012</v>
      </c>
      <c r="AJ174" t="str">
        <f>""</f>
        <v/>
      </c>
      <c r="AK174" t="str">
        <f>""</f>
        <v/>
      </c>
      <c r="AL174" t="str">
        <f t="shared" si="235"/>
        <v>1410</v>
      </c>
      <c r="AM174" t="str">
        <f>"ﾘﾝｸﾞ O"</f>
        <v>ﾘﾝｸﾞ O</v>
      </c>
      <c r="AN174" t="str">
        <f t="shared" si="228"/>
        <v>012</v>
      </c>
      <c r="AO174" t="str">
        <f t="shared" si="229"/>
        <v>TP-131 ﾊﾝﾖｳ</v>
      </c>
      <c r="AP174">
        <v>900</v>
      </c>
      <c r="AQ174" t="str">
        <f>""</f>
        <v/>
      </c>
      <c r="AR174" t="str">
        <f>""</f>
        <v/>
      </c>
      <c r="AS174" t="str">
        <f>""</f>
        <v/>
      </c>
      <c r="AT174" t="str">
        <f t="shared" si="172"/>
        <v>00</v>
      </c>
      <c r="AU174">
        <v>0.5</v>
      </c>
      <c r="AV174" t="str">
        <f>""</f>
        <v/>
      </c>
      <c r="AW174" t="str">
        <f>""</f>
        <v/>
      </c>
      <c r="AX174" t="str">
        <f>""</f>
        <v/>
      </c>
      <c r="AY174" t="str">
        <f>""</f>
        <v/>
      </c>
      <c r="AZ174" t="str">
        <f>""</f>
        <v/>
      </c>
      <c r="BA174" t="str">
        <f>""</f>
        <v/>
      </c>
      <c r="BB174" t="str">
        <f t="shared" si="230"/>
        <v>ＴＰ１３１フタナシ</v>
      </c>
      <c r="BC174" t="str">
        <f t="shared" si="220"/>
        <v xml:space="preserve"> 335.000</v>
      </c>
      <c r="BD174" t="str">
        <f t="shared" si="231"/>
        <v xml:space="preserve"> 168.000</v>
      </c>
      <c r="BE174" t="str">
        <f t="shared" si="223"/>
        <v xml:space="preserve"> 103.000</v>
      </c>
      <c r="BF174" t="str">
        <f t="shared" si="232"/>
        <v xml:space="preserve">   0.006</v>
      </c>
      <c r="BG174" t="str">
        <f>"   1.100"</f>
        <v xml:space="preserve">   1.100</v>
      </c>
      <c r="BH174" t="str">
        <f t="shared" si="221"/>
        <v>しない</v>
      </c>
      <c r="BI174" t="str">
        <f>""</f>
        <v/>
      </c>
      <c r="BJ174" t="str">
        <f t="shared" si="198"/>
        <v>MASTER01</v>
      </c>
      <c r="BK174" t="str">
        <f>"2023/01/17"</f>
        <v>2023/01/17</v>
      </c>
      <c r="BL174" t="str">
        <f t="shared" si="175"/>
        <v>NE00</v>
      </c>
      <c r="BM174" t="str">
        <f t="shared" si="176"/>
        <v>１工工務Ｇ</v>
      </c>
      <c r="BN174" t="str">
        <f t="shared" si="233"/>
        <v>46548</v>
      </c>
      <c r="BO174" t="str">
        <f t="shared" si="234"/>
        <v>長畑　玲奈</v>
      </c>
    </row>
    <row r="175" spans="1:67">
      <c r="A175" t="s">
        <v>260</v>
      </c>
      <c r="B175" t="str">
        <f>""</f>
        <v/>
      </c>
      <c r="C175" t="str">
        <f>""</f>
        <v/>
      </c>
      <c r="D175" t="s">
        <v>75</v>
      </c>
      <c r="E175" t="str">
        <f t="shared" si="162"/>
        <v>1Y</v>
      </c>
      <c r="F175" t="str">
        <f t="shared" si="163"/>
        <v>第１工場</v>
      </c>
      <c r="G175" t="str">
        <f t="shared" si="164"/>
        <v>手配</v>
      </c>
      <c r="H175" t="str">
        <f t="shared" si="165"/>
        <v>Ｐ</v>
      </c>
      <c r="I175" t="str">
        <f t="shared" si="224"/>
        <v>4241</v>
      </c>
      <c r="J175" t="str">
        <f t="shared" si="225"/>
        <v>ＮＯＫ（株）</v>
      </c>
      <c r="K175" t="str">
        <f t="shared" si="161"/>
        <v>01</v>
      </c>
      <c r="L175" t="str">
        <f>""</f>
        <v/>
      </c>
      <c r="M175" t="str">
        <f t="shared" si="222"/>
        <v>――</v>
      </c>
      <c r="N175" t="str">
        <f t="shared" si="215"/>
        <v>――</v>
      </c>
      <c r="O175" t="str">
        <f t="shared" si="166"/>
        <v>Ｍ</v>
      </c>
      <c r="P175" t="str">
        <f t="shared" si="167"/>
        <v>01</v>
      </c>
      <c r="Q175" t="str">
        <f t="shared" si="168"/>
        <v>第１</v>
      </c>
      <c r="R175" t="str">
        <f t="shared" si="169"/>
        <v>1Y</v>
      </c>
      <c r="S175" t="str">
        <f t="shared" si="170"/>
        <v>安城第１工場</v>
      </c>
      <c r="T175" t="str">
        <f t="shared" si="171"/>
        <v>直接</v>
      </c>
      <c r="U175" t="str">
        <f>""</f>
        <v/>
      </c>
      <c r="V175" t="str">
        <f>""</f>
        <v/>
      </c>
      <c r="W175" t="str">
        <f>""</f>
        <v/>
      </c>
      <c r="X175">
        <v>1</v>
      </c>
      <c r="Y175">
        <v>2</v>
      </c>
      <c r="Z175">
        <v>3.52</v>
      </c>
      <c r="AA175">
        <v>1.01</v>
      </c>
      <c r="AB175">
        <v>3</v>
      </c>
      <c r="AC175">
        <v>1.01</v>
      </c>
      <c r="AD175">
        <v>1.01</v>
      </c>
      <c r="AE175">
        <v>1.1000000000000001</v>
      </c>
      <c r="AF175">
        <v>0.5</v>
      </c>
      <c r="AG175" t="str">
        <f t="shared" si="226"/>
        <v>047</v>
      </c>
      <c r="AH175" t="str">
        <f t="shared" si="227"/>
        <v>ＮＯＫ（株）</v>
      </c>
      <c r="AI175" t="str">
        <f>"013"</f>
        <v>013</v>
      </c>
      <c r="AJ175" t="str">
        <f>""</f>
        <v/>
      </c>
      <c r="AK175" t="str">
        <f>""</f>
        <v/>
      </c>
      <c r="AL175" t="str">
        <f>"9080"</f>
        <v>9080</v>
      </c>
      <c r="AM175" t="str">
        <f>"ｼ-ﾙ ｵｲﾙ"</f>
        <v>ｼ-ﾙ ｵｲﾙ</v>
      </c>
      <c r="AN175" t="str">
        <f>"139"</f>
        <v>139</v>
      </c>
      <c r="AO175" t="str">
        <f>"B-24"</f>
        <v>B-24</v>
      </c>
      <c r="AP175">
        <v>120</v>
      </c>
      <c r="AQ175" t="str">
        <f>""</f>
        <v/>
      </c>
      <c r="AR175" t="str">
        <f>""</f>
        <v/>
      </c>
      <c r="AS175" t="str">
        <f>""</f>
        <v/>
      </c>
      <c r="AT175" t="str">
        <f t="shared" si="172"/>
        <v>00</v>
      </c>
      <c r="AU175">
        <v>0.5</v>
      </c>
      <c r="AV175" t="str">
        <f>""</f>
        <v/>
      </c>
      <c r="AW175" t="str">
        <f>""</f>
        <v/>
      </c>
      <c r="AX175" t="str">
        <f>""</f>
        <v/>
      </c>
      <c r="AY175" t="str">
        <f>""</f>
        <v/>
      </c>
      <c r="AZ175" t="str">
        <f>""</f>
        <v/>
      </c>
      <c r="BA175" t="str">
        <f>""</f>
        <v/>
      </c>
      <c r="BB175" t="str">
        <f>"サンボックス＃２４Ｂフタナシ"</f>
        <v>サンボックス＃２４Ｂフタナシ</v>
      </c>
      <c r="BC175" t="str">
        <f>" 430.000"</f>
        <v xml:space="preserve"> 430.000</v>
      </c>
      <c r="BD175" t="str">
        <f>" 290.000"</f>
        <v xml:space="preserve"> 290.000</v>
      </c>
      <c r="BE175" t="str">
        <f>" 170.000"</f>
        <v xml:space="preserve"> 170.000</v>
      </c>
      <c r="BF175" t="str">
        <f>"   0.021"</f>
        <v xml:space="preserve">   0.021</v>
      </c>
      <c r="BG175" t="str">
        <f>"   7.400"</f>
        <v xml:space="preserve">   7.400</v>
      </c>
      <c r="BH175" t="str">
        <f t="shared" si="221"/>
        <v>しない</v>
      </c>
      <c r="BI175" t="str">
        <f>""</f>
        <v/>
      </c>
      <c r="BJ175" t="str">
        <f t="shared" si="198"/>
        <v>MASTER01</v>
      </c>
      <c r="BK175" t="str">
        <f>"2023/01/17"</f>
        <v>2023/01/17</v>
      </c>
      <c r="BL175" t="str">
        <f t="shared" si="175"/>
        <v>NE00</v>
      </c>
      <c r="BM175" t="str">
        <f t="shared" si="176"/>
        <v>１工工務Ｇ</v>
      </c>
      <c r="BN175" t="str">
        <f t="shared" si="233"/>
        <v>46548</v>
      </c>
      <c r="BO175" t="str">
        <f t="shared" si="234"/>
        <v>長畑　玲奈</v>
      </c>
    </row>
    <row r="176" spans="1:67">
      <c r="A176" t="s">
        <v>261</v>
      </c>
      <c r="B176" t="str">
        <f>""</f>
        <v/>
      </c>
      <c r="C176" t="str">
        <f>""</f>
        <v/>
      </c>
      <c r="D176" t="s">
        <v>75</v>
      </c>
      <c r="E176" t="str">
        <f t="shared" si="162"/>
        <v>1Y</v>
      </c>
      <c r="F176" t="str">
        <f t="shared" si="163"/>
        <v>第１工場</v>
      </c>
      <c r="G176" t="str">
        <f t="shared" si="164"/>
        <v>手配</v>
      </c>
      <c r="H176" t="str">
        <f t="shared" si="165"/>
        <v>Ｐ</v>
      </c>
      <c r="I176" t="str">
        <f t="shared" si="224"/>
        <v>4241</v>
      </c>
      <c r="J176" t="str">
        <f t="shared" si="225"/>
        <v>ＮＯＫ（株）</v>
      </c>
      <c r="K176" t="str">
        <f t="shared" si="161"/>
        <v>01</v>
      </c>
      <c r="L176" t="str">
        <f>""</f>
        <v/>
      </c>
      <c r="M176" t="str">
        <f t="shared" si="222"/>
        <v>――</v>
      </c>
      <c r="N176" t="str">
        <f t="shared" si="215"/>
        <v>――</v>
      </c>
      <c r="O176" t="str">
        <f t="shared" si="166"/>
        <v>Ｍ</v>
      </c>
      <c r="P176" t="str">
        <f t="shared" si="167"/>
        <v>01</v>
      </c>
      <c r="Q176" t="str">
        <f t="shared" si="168"/>
        <v>第１</v>
      </c>
      <c r="R176" t="str">
        <f t="shared" si="169"/>
        <v>1Y</v>
      </c>
      <c r="S176" t="str">
        <f t="shared" si="170"/>
        <v>安城第１工場</v>
      </c>
      <c r="T176" t="str">
        <f t="shared" si="171"/>
        <v>直接</v>
      </c>
      <c r="U176" t="str">
        <f>""</f>
        <v/>
      </c>
      <c r="V176" t="str">
        <f>""</f>
        <v/>
      </c>
      <c r="W176" t="str">
        <f>""</f>
        <v/>
      </c>
      <c r="X176">
        <v>1</v>
      </c>
      <c r="Y176">
        <v>2</v>
      </c>
      <c r="Z176">
        <v>3.52</v>
      </c>
      <c r="AA176">
        <v>1.01</v>
      </c>
      <c r="AB176">
        <v>3</v>
      </c>
      <c r="AC176">
        <v>1.01</v>
      </c>
      <c r="AD176">
        <v>1.01</v>
      </c>
      <c r="AE176">
        <v>1.1000000000000001</v>
      </c>
      <c r="AF176">
        <v>0.5</v>
      </c>
      <c r="AG176" t="str">
        <f t="shared" si="226"/>
        <v>047</v>
      </c>
      <c r="AH176" t="str">
        <f t="shared" si="227"/>
        <v>ＮＯＫ（株）</v>
      </c>
      <c r="AI176" t="str">
        <f>"006"</f>
        <v>006</v>
      </c>
      <c r="AJ176" t="str">
        <f>"F1-1"</f>
        <v>F1-1</v>
      </c>
      <c r="AK176" t="str">
        <f>"50419"</f>
        <v>50419</v>
      </c>
      <c r="AL176" t="str">
        <f>"9080"</f>
        <v>9080</v>
      </c>
      <c r="AM176" t="str">
        <f>"ｼｰﾙﾀｲﾌﾟTｵｲﾙ"</f>
        <v>ｼｰﾙﾀｲﾌﾟTｵｲﾙ</v>
      </c>
      <c r="AN176" t="str">
        <f>"139"</f>
        <v>139</v>
      </c>
      <c r="AO176" t="str">
        <f>"B-24"</f>
        <v>B-24</v>
      </c>
      <c r="AP176">
        <v>84</v>
      </c>
      <c r="AQ176" t="str">
        <f>""</f>
        <v/>
      </c>
      <c r="AR176" t="str">
        <f>""</f>
        <v/>
      </c>
      <c r="AS176" t="str">
        <f>""</f>
        <v/>
      </c>
      <c r="AT176" t="str">
        <f t="shared" si="172"/>
        <v>00</v>
      </c>
      <c r="AU176">
        <v>0.5</v>
      </c>
      <c r="AV176" t="str">
        <f>""</f>
        <v/>
      </c>
      <c r="AW176" t="str">
        <f>"08"</f>
        <v>08</v>
      </c>
      <c r="AX176" t="str">
        <f>"専用"</f>
        <v>専用</v>
      </c>
      <c r="AY176" t="str">
        <f>"01"</f>
        <v>01</v>
      </c>
      <c r="AZ176" t="str">
        <f>"後補充"</f>
        <v>後補充</v>
      </c>
      <c r="BA176" t="str">
        <f>""</f>
        <v/>
      </c>
      <c r="BB176" t="str">
        <f>"サンボックス＃２４Ｂフタナシ"</f>
        <v>サンボックス＃２４Ｂフタナシ</v>
      </c>
      <c r="BC176" t="str">
        <f>" 430.000"</f>
        <v xml:space="preserve"> 430.000</v>
      </c>
      <c r="BD176" t="str">
        <f>" 290.000"</f>
        <v xml:space="preserve"> 290.000</v>
      </c>
      <c r="BE176" t="str">
        <f>" 170.000"</f>
        <v xml:space="preserve"> 170.000</v>
      </c>
      <c r="BF176" t="str">
        <f>"   0.021"</f>
        <v xml:space="preserve">   0.021</v>
      </c>
      <c r="BG176" t="str">
        <f>"   5.258"</f>
        <v xml:space="preserve">   5.258</v>
      </c>
      <c r="BH176" t="str">
        <f t="shared" si="221"/>
        <v>しない</v>
      </c>
      <c r="BI176" t="str">
        <f>""</f>
        <v/>
      </c>
      <c r="BJ176" t="str">
        <f t="shared" si="198"/>
        <v>MASTER01</v>
      </c>
      <c r="BK176" t="str">
        <f>"2022/04/19"</f>
        <v>2022/04/19</v>
      </c>
      <c r="BL176" t="str">
        <f t="shared" si="175"/>
        <v>NE00</v>
      </c>
      <c r="BM176" t="str">
        <f t="shared" si="176"/>
        <v>１工工務Ｇ</v>
      </c>
      <c r="BN176" t="str">
        <f t="shared" si="233"/>
        <v>46548</v>
      </c>
      <c r="BO176" t="str">
        <f t="shared" si="234"/>
        <v>長畑　玲奈</v>
      </c>
    </row>
    <row r="177" spans="1:67">
      <c r="A177" t="s">
        <v>262</v>
      </c>
      <c r="B177" t="str">
        <f>""</f>
        <v/>
      </c>
      <c r="C177" t="str">
        <f>""</f>
        <v/>
      </c>
      <c r="D177" t="s">
        <v>75</v>
      </c>
      <c r="E177" t="str">
        <f t="shared" si="162"/>
        <v>1Y</v>
      </c>
      <c r="F177" t="str">
        <f t="shared" si="163"/>
        <v>第１工場</v>
      </c>
      <c r="G177" t="str">
        <f t="shared" si="164"/>
        <v>手配</v>
      </c>
      <c r="H177" t="str">
        <f t="shared" si="165"/>
        <v>Ｐ</v>
      </c>
      <c r="I177" t="str">
        <f t="shared" si="224"/>
        <v>4241</v>
      </c>
      <c r="J177" t="str">
        <f t="shared" si="225"/>
        <v>ＮＯＫ（株）</v>
      </c>
      <c r="K177" t="str">
        <f t="shared" si="161"/>
        <v>01</v>
      </c>
      <c r="L177" t="str">
        <f>""</f>
        <v/>
      </c>
      <c r="M177" t="str">
        <f t="shared" si="222"/>
        <v>――</v>
      </c>
      <c r="N177" t="str">
        <f t="shared" si="215"/>
        <v>――</v>
      </c>
      <c r="O177" t="str">
        <f t="shared" si="166"/>
        <v>Ｍ</v>
      </c>
      <c r="P177" t="str">
        <f t="shared" si="167"/>
        <v>01</v>
      </c>
      <c r="Q177" t="str">
        <f t="shared" si="168"/>
        <v>第１</v>
      </c>
      <c r="R177" t="str">
        <f t="shared" si="169"/>
        <v>1Y</v>
      </c>
      <c r="S177" t="str">
        <f t="shared" si="170"/>
        <v>安城第１工場</v>
      </c>
      <c r="T177" t="str">
        <f t="shared" si="171"/>
        <v>直接</v>
      </c>
      <c r="U177" t="str">
        <f>""</f>
        <v/>
      </c>
      <c r="V177" t="str">
        <f>""</f>
        <v/>
      </c>
      <c r="W177" t="str">
        <f>""</f>
        <v/>
      </c>
      <c r="X177">
        <v>1</v>
      </c>
      <c r="Y177">
        <v>2</v>
      </c>
      <c r="Z177">
        <v>3.52</v>
      </c>
      <c r="AA177">
        <v>1.01</v>
      </c>
      <c r="AB177">
        <v>3</v>
      </c>
      <c r="AC177">
        <v>1.01</v>
      </c>
      <c r="AD177">
        <v>1.01</v>
      </c>
      <c r="AE177">
        <v>1.1000000000000001</v>
      </c>
      <c r="AF177">
        <v>0.5</v>
      </c>
      <c r="AG177" t="str">
        <f t="shared" si="226"/>
        <v>047</v>
      </c>
      <c r="AH177" t="str">
        <f t="shared" si="227"/>
        <v>ＮＯＫ（株）</v>
      </c>
      <c r="AI177" t="str">
        <f>"007"</f>
        <v>007</v>
      </c>
      <c r="AJ177" t="str">
        <f>"F1-2"</f>
        <v>F1-2</v>
      </c>
      <c r="AK177" t="str">
        <f>"50420"</f>
        <v>50420</v>
      </c>
      <c r="AL177" t="str">
        <f>"9080"</f>
        <v>9080</v>
      </c>
      <c r="AM177" t="str">
        <f>"ｼｰﾙﾀｲﾌﾟTｵｲﾙ"</f>
        <v>ｼｰﾙﾀｲﾌﾟTｵｲﾙ</v>
      </c>
      <c r="AN177" t="str">
        <f>"139"</f>
        <v>139</v>
      </c>
      <c r="AO177" t="str">
        <f>"B-24"</f>
        <v>B-24</v>
      </c>
      <c r="AP177">
        <v>84</v>
      </c>
      <c r="AQ177" t="str">
        <f>""</f>
        <v/>
      </c>
      <c r="AR177" t="str">
        <f>""</f>
        <v/>
      </c>
      <c r="AS177" t="str">
        <f>""</f>
        <v/>
      </c>
      <c r="AT177" t="str">
        <f t="shared" si="172"/>
        <v>00</v>
      </c>
      <c r="AU177">
        <v>0.5</v>
      </c>
      <c r="AV177" t="str">
        <f>""</f>
        <v/>
      </c>
      <c r="AW177" t="str">
        <f>"08"</f>
        <v>08</v>
      </c>
      <c r="AX177" t="str">
        <f>"専用"</f>
        <v>専用</v>
      </c>
      <c r="AY177" t="str">
        <f>"01"</f>
        <v>01</v>
      </c>
      <c r="AZ177" t="str">
        <f>"後補充"</f>
        <v>後補充</v>
      </c>
      <c r="BA177" t="str">
        <f>""</f>
        <v/>
      </c>
      <c r="BB177" t="str">
        <f>"サンボックス＃２４Ｂフタナシ"</f>
        <v>サンボックス＃２４Ｂフタナシ</v>
      </c>
      <c r="BC177" t="str">
        <f>" 430.000"</f>
        <v xml:space="preserve"> 430.000</v>
      </c>
      <c r="BD177" t="str">
        <f>" 290.000"</f>
        <v xml:space="preserve"> 290.000</v>
      </c>
      <c r="BE177" t="str">
        <f>" 170.000"</f>
        <v xml:space="preserve"> 170.000</v>
      </c>
      <c r="BF177" t="str">
        <f>"   0.021"</f>
        <v xml:space="preserve">   0.021</v>
      </c>
      <c r="BG177" t="str">
        <f>"   5.560"</f>
        <v xml:space="preserve">   5.560</v>
      </c>
      <c r="BH177" t="str">
        <f t="shared" si="221"/>
        <v>しない</v>
      </c>
      <c r="BI177" t="str">
        <f>""</f>
        <v/>
      </c>
      <c r="BJ177" t="str">
        <f t="shared" si="198"/>
        <v>MASTER01</v>
      </c>
      <c r="BK177" t="str">
        <f>"2022/04/19"</f>
        <v>2022/04/19</v>
      </c>
      <c r="BL177" t="str">
        <f t="shared" si="175"/>
        <v>NE00</v>
      </c>
      <c r="BM177" t="str">
        <f t="shared" si="176"/>
        <v>１工工務Ｇ</v>
      </c>
      <c r="BN177" t="str">
        <f t="shared" si="233"/>
        <v>46548</v>
      </c>
      <c r="BO177" t="str">
        <f t="shared" si="234"/>
        <v>長畑　玲奈</v>
      </c>
    </row>
    <row r="178" spans="1:67">
      <c r="A178" t="s">
        <v>263</v>
      </c>
      <c r="B178" t="str">
        <f>""</f>
        <v/>
      </c>
      <c r="C178" t="str">
        <f>""</f>
        <v/>
      </c>
      <c r="D178" t="s">
        <v>77</v>
      </c>
      <c r="E178" t="str">
        <f t="shared" si="162"/>
        <v>1Y</v>
      </c>
      <c r="F178" t="str">
        <f t="shared" si="163"/>
        <v>第１工場</v>
      </c>
      <c r="G178" t="str">
        <f t="shared" si="164"/>
        <v>手配</v>
      </c>
      <c r="H178" t="str">
        <f t="shared" si="165"/>
        <v>Ｐ</v>
      </c>
      <c r="I178" t="str">
        <f>"4267"</f>
        <v>4267</v>
      </c>
      <c r="J178" t="str">
        <f>"（株）バルカー"</f>
        <v>（株）バルカー</v>
      </c>
      <c r="K178" t="str">
        <f t="shared" si="161"/>
        <v>01</v>
      </c>
      <c r="L178" t="str">
        <f>"豊田営業所"</f>
        <v>豊田営業所</v>
      </c>
      <c r="M178" t="str">
        <f t="shared" si="222"/>
        <v>――</v>
      </c>
      <c r="N178" t="str">
        <f t="shared" si="215"/>
        <v>――</v>
      </c>
      <c r="O178" t="str">
        <f t="shared" si="166"/>
        <v>Ｍ</v>
      </c>
      <c r="P178" t="str">
        <f t="shared" si="167"/>
        <v>01</v>
      </c>
      <c r="Q178" t="str">
        <f t="shared" si="168"/>
        <v>第１</v>
      </c>
      <c r="R178" t="str">
        <f t="shared" si="169"/>
        <v>1Y</v>
      </c>
      <c r="S178" t="str">
        <f t="shared" si="170"/>
        <v>安城第１工場</v>
      </c>
      <c r="T178" t="str">
        <f t="shared" si="171"/>
        <v>直接</v>
      </c>
      <c r="U178" t="str">
        <f>""</f>
        <v/>
      </c>
      <c r="V178" t="str">
        <f>""</f>
        <v/>
      </c>
      <c r="W178" t="str">
        <f>""</f>
        <v/>
      </c>
      <c r="X178">
        <v>1</v>
      </c>
      <c r="Y178">
        <v>2</v>
      </c>
      <c r="Z178">
        <v>6.2</v>
      </c>
      <c r="AA178">
        <v>1.35</v>
      </c>
      <c r="AB178">
        <v>3</v>
      </c>
      <c r="AC178">
        <v>1.35</v>
      </c>
      <c r="AD178">
        <v>1.35</v>
      </c>
      <c r="AE178">
        <v>1.1000000000000001</v>
      </c>
      <c r="AF178">
        <v>0.5</v>
      </c>
      <c r="AG178" t="str">
        <f>"048"</f>
        <v>048</v>
      </c>
      <c r="AH178" t="str">
        <f>"（株）バルカー"</f>
        <v>（株）バルカー</v>
      </c>
      <c r="AI178" t="str">
        <f>"001"</f>
        <v>001</v>
      </c>
      <c r="AJ178" t="str">
        <f>"M-ST-13"</f>
        <v>M-ST-13</v>
      </c>
      <c r="AK178" t="str">
        <f>"30142"</f>
        <v>30142</v>
      </c>
      <c r="AL178" t="str">
        <f>"0036"</f>
        <v>0036</v>
      </c>
      <c r="AM178" t="s">
        <v>78</v>
      </c>
      <c r="AN178" t="str">
        <f>"088"</f>
        <v>088</v>
      </c>
      <c r="AO178" t="str">
        <f>"TP-332.5ｾﾝﾖｳ"</f>
        <v>TP-332.5ｾﾝﾖｳ</v>
      </c>
      <c r="AP178">
        <v>60</v>
      </c>
      <c r="AQ178" t="str">
        <f>""</f>
        <v/>
      </c>
      <c r="AR178" t="str">
        <f>""</f>
        <v/>
      </c>
      <c r="AS178" t="str">
        <f>""</f>
        <v/>
      </c>
      <c r="AT178" t="str">
        <f t="shared" si="172"/>
        <v>00</v>
      </c>
      <c r="AU178">
        <v>0.5</v>
      </c>
      <c r="AV178" t="str">
        <f>""</f>
        <v/>
      </c>
      <c r="AW178" t="str">
        <f>"08"</f>
        <v>08</v>
      </c>
      <c r="AX178" t="str">
        <f>"専用"</f>
        <v>専用</v>
      </c>
      <c r="AY178" t="str">
        <f>"01"</f>
        <v>01</v>
      </c>
      <c r="AZ178" t="str">
        <f>"後補充"</f>
        <v>後補充</v>
      </c>
      <c r="BA178" t="str">
        <f>""</f>
        <v/>
      </c>
      <c r="BB178" t="str">
        <f>"ＴＰ３３２フタナシ"</f>
        <v>ＴＰ３３２フタナシ</v>
      </c>
      <c r="BC178" t="str">
        <f t="shared" ref="BC178:BD180" si="236">" 335.000"</f>
        <v xml:space="preserve"> 335.000</v>
      </c>
      <c r="BD178" t="str">
        <f t="shared" si="236"/>
        <v xml:space="preserve"> 335.000</v>
      </c>
      <c r="BE178" t="str">
        <f>" 196.000"</f>
        <v xml:space="preserve"> 196.000</v>
      </c>
      <c r="BF178" t="str">
        <f>"   0.022"</f>
        <v xml:space="preserve">   0.022</v>
      </c>
      <c r="BG178" t="str">
        <f>"   1.940"</f>
        <v xml:space="preserve">   1.940</v>
      </c>
      <c r="BH178" t="str">
        <f t="shared" si="221"/>
        <v>しない</v>
      </c>
      <c r="BI178" t="str">
        <f>""</f>
        <v/>
      </c>
      <c r="BJ178" t="str">
        <f t="shared" si="198"/>
        <v>MASTER01</v>
      </c>
      <c r="BK178" t="str">
        <f>"2022/04/19"</f>
        <v>2022/04/19</v>
      </c>
      <c r="BL178" t="str">
        <f t="shared" si="175"/>
        <v>NE00</v>
      </c>
      <c r="BM178" t="str">
        <f t="shared" si="176"/>
        <v>１工工務Ｇ</v>
      </c>
      <c r="BN178" t="str">
        <f t="shared" si="233"/>
        <v>46548</v>
      </c>
      <c r="BO178" t="str">
        <f t="shared" si="234"/>
        <v>長畑　玲奈</v>
      </c>
    </row>
    <row r="179" spans="1:67">
      <c r="A179" t="s">
        <v>264</v>
      </c>
      <c r="B179" t="str">
        <f>""</f>
        <v/>
      </c>
      <c r="C179" t="str">
        <f>""</f>
        <v/>
      </c>
      <c r="D179" t="s">
        <v>77</v>
      </c>
      <c r="E179" t="str">
        <f t="shared" si="162"/>
        <v>1Y</v>
      </c>
      <c r="F179" t="str">
        <f t="shared" si="163"/>
        <v>第１工場</v>
      </c>
      <c r="G179" t="str">
        <f t="shared" si="164"/>
        <v>手配</v>
      </c>
      <c r="H179" t="str">
        <f t="shared" si="165"/>
        <v>Ｐ</v>
      </c>
      <c r="I179" t="str">
        <f>"4267"</f>
        <v>4267</v>
      </c>
      <c r="J179" t="str">
        <f>"（株）バルカー"</f>
        <v>（株）バルカー</v>
      </c>
      <c r="K179" t="str">
        <f t="shared" si="161"/>
        <v>01</v>
      </c>
      <c r="L179" t="str">
        <f>"豊田営業所"</f>
        <v>豊田営業所</v>
      </c>
      <c r="M179" t="str">
        <f t="shared" si="222"/>
        <v>――</v>
      </c>
      <c r="N179" t="str">
        <f t="shared" si="215"/>
        <v>――</v>
      </c>
      <c r="O179" t="str">
        <f t="shared" si="166"/>
        <v>Ｍ</v>
      </c>
      <c r="P179" t="str">
        <f t="shared" si="167"/>
        <v>01</v>
      </c>
      <c r="Q179" t="str">
        <f t="shared" si="168"/>
        <v>第１</v>
      </c>
      <c r="R179" t="str">
        <f t="shared" si="169"/>
        <v>1Y</v>
      </c>
      <c r="S179" t="str">
        <f t="shared" si="170"/>
        <v>安城第１工場</v>
      </c>
      <c r="T179" t="str">
        <f t="shared" si="171"/>
        <v>直接</v>
      </c>
      <c r="U179" t="str">
        <f>""</f>
        <v/>
      </c>
      <c r="V179" t="str">
        <f>""</f>
        <v/>
      </c>
      <c r="W179" t="str">
        <f>""</f>
        <v/>
      </c>
      <c r="X179">
        <v>1</v>
      </c>
      <c r="Y179">
        <v>2</v>
      </c>
      <c r="Z179">
        <v>6.2</v>
      </c>
      <c r="AA179">
        <v>1.35</v>
      </c>
      <c r="AB179">
        <v>3</v>
      </c>
      <c r="AC179">
        <v>1.35</v>
      </c>
      <c r="AD179">
        <v>1.35</v>
      </c>
      <c r="AE179">
        <v>1.1000000000000001</v>
      </c>
      <c r="AF179">
        <v>0.5</v>
      </c>
      <c r="AG179" t="str">
        <f>"048"</f>
        <v>048</v>
      </c>
      <c r="AH179" t="str">
        <f>"（株）バルカー"</f>
        <v>（株）バルカー</v>
      </c>
      <c r="AI179" t="str">
        <f>"002"</f>
        <v>002</v>
      </c>
      <c r="AJ179" t="str">
        <f>"M-ST-11"</f>
        <v>M-ST-11</v>
      </c>
      <c r="AK179" t="str">
        <f>"30144"</f>
        <v>30144</v>
      </c>
      <c r="AL179" t="str">
        <f>"0036"</f>
        <v>0036</v>
      </c>
      <c r="AM179" t="s">
        <v>78</v>
      </c>
      <c r="AN179" t="str">
        <f>"088"</f>
        <v>088</v>
      </c>
      <c r="AO179" t="str">
        <f>"TP-332.5ｾﾝﾖｳ"</f>
        <v>TP-332.5ｾﾝﾖｳ</v>
      </c>
      <c r="AP179">
        <v>60</v>
      </c>
      <c r="AQ179" t="str">
        <f>""</f>
        <v/>
      </c>
      <c r="AR179" t="str">
        <f>""</f>
        <v/>
      </c>
      <c r="AS179" t="str">
        <f>""</f>
        <v/>
      </c>
      <c r="AT179" t="str">
        <f t="shared" si="172"/>
        <v>00</v>
      </c>
      <c r="AU179">
        <v>0.5</v>
      </c>
      <c r="AV179" t="str">
        <f>""</f>
        <v/>
      </c>
      <c r="AW179" t="str">
        <f>"08"</f>
        <v>08</v>
      </c>
      <c r="AX179" t="str">
        <f>"専用"</f>
        <v>専用</v>
      </c>
      <c r="AY179" t="str">
        <f>"01"</f>
        <v>01</v>
      </c>
      <c r="AZ179" t="str">
        <f>"後補充"</f>
        <v>後補充</v>
      </c>
      <c r="BA179" t="str">
        <f>""</f>
        <v/>
      </c>
      <c r="BB179" t="str">
        <f>"ＴＰ３３２フタナシ"</f>
        <v>ＴＰ３３２フタナシ</v>
      </c>
      <c r="BC179" t="str">
        <f t="shared" si="236"/>
        <v xml:space="preserve"> 335.000</v>
      </c>
      <c r="BD179" t="str">
        <f t="shared" si="236"/>
        <v xml:space="preserve"> 335.000</v>
      </c>
      <c r="BE179" t="str">
        <f>" 196.000"</f>
        <v xml:space="preserve"> 196.000</v>
      </c>
      <c r="BF179" t="str">
        <f>"   0.022"</f>
        <v xml:space="preserve">   0.022</v>
      </c>
      <c r="BG179" t="str">
        <f>"   2.036"</f>
        <v xml:space="preserve">   2.036</v>
      </c>
      <c r="BH179" t="str">
        <f t="shared" si="221"/>
        <v>しない</v>
      </c>
      <c r="BI179" t="str">
        <f>""</f>
        <v/>
      </c>
      <c r="BJ179" t="str">
        <f t="shared" si="198"/>
        <v>MASTER01</v>
      </c>
      <c r="BK179" t="str">
        <f>"2022/04/19"</f>
        <v>2022/04/19</v>
      </c>
      <c r="BL179" t="str">
        <f t="shared" si="175"/>
        <v>NE00</v>
      </c>
      <c r="BM179" t="str">
        <f t="shared" si="176"/>
        <v>１工工務Ｇ</v>
      </c>
      <c r="BN179" t="str">
        <f t="shared" si="233"/>
        <v>46548</v>
      </c>
      <c r="BO179" t="str">
        <f t="shared" si="234"/>
        <v>長畑　玲奈</v>
      </c>
    </row>
    <row r="180" spans="1:67">
      <c r="A180" t="s">
        <v>265</v>
      </c>
      <c r="B180" t="str">
        <f>""</f>
        <v/>
      </c>
      <c r="C180" t="str">
        <f>""</f>
        <v/>
      </c>
      <c r="D180" t="s">
        <v>77</v>
      </c>
      <c r="E180" t="str">
        <f t="shared" si="162"/>
        <v>1Y</v>
      </c>
      <c r="F180" t="str">
        <f t="shared" si="163"/>
        <v>第１工場</v>
      </c>
      <c r="G180" t="str">
        <f t="shared" si="164"/>
        <v>手配</v>
      </c>
      <c r="H180" t="str">
        <f t="shared" si="165"/>
        <v>Ｐ</v>
      </c>
      <c r="I180" t="str">
        <f>"4267"</f>
        <v>4267</v>
      </c>
      <c r="J180" t="str">
        <f>"（株）バルカー"</f>
        <v>（株）バルカー</v>
      </c>
      <c r="K180" t="str">
        <f t="shared" si="161"/>
        <v>01</v>
      </c>
      <c r="L180" t="str">
        <f>"豊田営業所"</f>
        <v>豊田営業所</v>
      </c>
      <c r="M180" t="str">
        <f t="shared" si="222"/>
        <v>――</v>
      </c>
      <c r="N180" t="str">
        <f t="shared" si="215"/>
        <v>――</v>
      </c>
      <c r="O180" t="str">
        <f t="shared" si="166"/>
        <v>Ｍ</v>
      </c>
      <c r="P180" t="str">
        <f t="shared" si="167"/>
        <v>01</v>
      </c>
      <c r="Q180" t="str">
        <f t="shared" si="168"/>
        <v>第１</v>
      </c>
      <c r="R180" t="str">
        <f t="shared" si="169"/>
        <v>1Y</v>
      </c>
      <c r="S180" t="str">
        <f t="shared" si="170"/>
        <v>安城第１工場</v>
      </c>
      <c r="T180" t="str">
        <f t="shared" si="171"/>
        <v>直接</v>
      </c>
      <c r="U180" t="str">
        <f>""</f>
        <v/>
      </c>
      <c r="V180" t="str">
        <f>""</f>
        <v/>
      </c>
      <c r="W180" t="str">
        <f>""</f>
        <v/>
      </c>
      <c r="X180">
        <v>1</v>
      </c>
      <c r="Y180">
        <v>2</v>
      </c>
      <c r="Z180">
        <v>6.2</v>
      </c>
      <c r="AA180">
        <v>1.35</v>
      </c>
      <c r="AB180">
        <v>3</v>
      </c>
      <c r="AC180">
        <v>1.35</v>
      </c>
      <c r="AD180">
        <v>1.35</v>
      </c>
      <c r="AE180">
        <v>1.1000000000000001</v>
      </c>
      <c r="AF180">
        <v>0.5</v>
      </c>
      <c r="AG180" t="str">
        <f>"048"</f>
        <v>048</v>
      </c>
      <c r="AH180" t="str">
        <f>"（株）バルカー"</f>
        <v>（株）バルカー</v>
      </c>
      <c r="AI180" t="str">
        <f>"003"</f>
        <v>003</v>
      </c>
      <c r="AJ180" t="str">
        <f>"M-ST-12"</f>
        <v>M-ST-12</v>
      </c>
      <c r="AK180" t="str">
        <f>"30143"</f>
        <v>30143</v>
      </c>
      <c r="AL180" t="str">
        <f>"0021"</f>
        <v>0021</v>
      </c>
      <c r="AM180" t="s">
        <v>79</v>
      </c>
      <c r="AN180" t="str">
        <f>"088"</f>
        <v>088</v>
      </c>
      <c r="AO180" t="str">
        <f>"TP-332.5ｾﾝﾖｳ"</f>
        <v>TP-332.5ｾﾝﾖｳ</v>
      </c>
      <c r="AP180">
        <v>60</v>
      </c>
      <c r="AQ180" t="str">
        <f>""</f>
        <v/>
      </c>
      <c r="AR180" t="str">
        <f>""</f>
        <v/>
      </c>
      <c r="AS180" t="str">
        <f>""</f>
        <v/>
      </c>
      <c r="AT180" t="str">
        <f t="shared" si="172"/>
        <v>00</v>
      </c>
      <c r="AU180">
        <v>0.5</v>
      </c>
      <c r="AV180" t="str">
        <f>""</f>
        <v/>
      </c>
      <c r="AW180" t="str">
        <f>"08"</f>
        <v>08</v>
      </c>
      <c r="AX180" t="str">
        <f>"専用"</f>
        <v>専用</v>
      </c>
      <c r="AY180" t="str">
        <f>"01"</f>
        <v>01</v>
      </c>
      <c r="AZ180" t="str">
        <f>"後補充"</f>
        <v>後補充</v>
      </c>
      <c r="BA180" t="str">
        <f>""</f>
        <v/>
      </c>
      <c r="BB180" t="str">
        <f>"ＴＰ３３２フタナシ"</f>
        <v>ＴＰ３３２フタナシ</v>
      </c>
      <c r="BC180" t="str">
        <f t="shared" si="236"/>
        <v xml:space="preserve"> 335.000</v>
      </c>
      <c r="BD180" t="str">
        <f t="shared" si="236"/>
        <v xml:space="preserve"> 335.000</v>
      </c>
      <c r="BE180" t="str">
        <f>" 196.000"</f>
        <v xml:space="preserve"> 196.000</v>
      </c>
      <c r="BF180" t="str">
        <f>"   0.022"</f>
        <v xml:space="preserve">   0.022</v>
      </c>
      <c r="BG180" t="str">
        <f>"   1.640"</f>
        <v xml:space="preserve">   1.640</v>
      </c>
      <c r="BH180" t="str">
        <f t="shared" si="221"/>
        <v>しない</v>
      </c>
      <c r="BI180" t="str">
        <f>""</f>
        <v/>
      </c>
      <c r="BJ180" t="str">
        <f t="shared" si="198"/>
        <v>MASTER01</v>
      </c>
      <c r="BK180" t="str">
        <f>"2022/04/19"</f>
        <v>2022/04/19</v>
      </c>
      <c r="BL180" t="str">
        <f t="shared" si="175"/>
        <v>NE00</v>
      </c>
      <c r="BM180" t="str">
        <f t="shared" si="176"/>
        <v>１工工務Ｇ</v>
      </c>
      <c r="BN180" t="str">
        <f t="shared" si="233"/>
        <v>46548</v>
      </c>
      <c r="BO180" t="str">
        <f t="shared" si="234"/>
        <v>長畑　玲奈</v>
      </c>
    </row>
    <row r="181" spans="1:67">
      <c r="A181" t="s">
        <v>639</v>
      </c>
      <c r="B181" t="str">
        <f>""</f>
        <v/>
      </c>
      <c r="C181" t="str">
        <f>""</f>
        <v/>
      </c>
      <c r="D181" t="s">
        <v>80</v>
      </c>
      <c r="E181" t="str">
        <f t="shared" si="162"/>
        <v>1Y</v>
      </c>
      <c r="F181" t="str">
        <f t="shared" si="163"/>
        <v>第１工場</v>
      </c>
      <c r="G181" t="str">
        <f t="shared" si="164"/>
        <v>手配</v>
      </c>
      <c r="H181" t="str">
        <f t="shared" si="165"/>
        <v>Ｐ</v>
      </c>
      <c r="I181" t="str">
        <f t="shared" ref="I181:I187" si="237">"4287"</f>
        <v>4287</v>
      </c>
      <c r="J181" t="str">
        <f t="shared" ref="J181:J187" si="238">"日本精工（株）"</f>
        <v>日本精工（株）</v>
      </c>
      <c r="K181" t="str">
        <f t="shared" ref="K181:K187" si="239">"02"</f>
        <v>02</v>
      </c>
      <c r="L181" t="str">
        <f t="shared" ref="L181:L187" si="240">"三河分室"</f>
        <v>三河分室</v>
      </c>
      <c r="M181" t="str">
        <f t="shared" si="222"/>
        <v>――</v>
      </c>
      <c r="N181" t="str">
        <f t="shared" si="215"/>
        <v>――</v>
      </c>
      <c r="O181" t="str">
        <f t="shared" si="166"/>
        <v>Ｍ</v>
      </c>
      <c r="P181" t="str">
        <f t="shared" si="167"/>
        <v>01</v>
      </c>
      <c r="Q181" t="str">
        <f t="shared" si="168"/>
        <v>第１</v>
      </c>
      <c r="R181" t="str">
        <f t="shared" si="169"/>
        <v>1Y</v>
      </c>
      <c r="S181" t="str">
        <f t="shared" si="170"/>
        <v>安城第１工場</v>
      </c>
      <c r="T181" t="str">
        <f t="shared" si="171"/>
        <v>直接</v>
      </c>
      <c r="U181" t="str">
        <f>""</f>
        <v/>
      </c>
      <c r="V181" t="str">
        <f>""</f>
        <v/>
      </c>
      <c r="W181" t="str">
        <f>""</f>
        <v/>
      </c>
      <c r="X181">
        <v>1</v>
      </c>
      <c r="Y181">
        <v>8</v>
      </c>
      <c r="Z181">
        <v>9</v>
      </c>
      <c r="AA181">
        <v>0.97</v>
      </c>
      <c r="AB181">
        <v>3</v>
      </c>
      <c r="AC181">
        <v>0.97</v>
      </c>
      <c r="AD181">
        <v>0.97</v>
      </c>
      <c r="AE181">
        <v>1.1000000000000001</v>
      </c>
      <c r="AF181">
        <v>0.5</v>
      </c>
      <c r="AG181" t="str">
        <f t="shared" ref="AG181:AG187" si="241">"059"</f>
        <v>059</v>
      </c>
      <c r="AH181" t="str">
        <f t="shared" ref="AH181:AH187" si="242">"日本精工（株）"</f>
        <v>日本精工（株）</v>
      </c>
      <c r="AI181" t="str">
        <f>"007"</f>
        <v>007</v>
      </c>
      <c r="AJ181" t="str">
        <f>""</f>
        <v/>
      </c>
      <c r="AK181" t="str">
        <f>""</f>
        <v/>
      </c>
      <c r="AL181" t="str">
        <f>"1311"</f>
        <v>1311</v>
      </c>
      <c r="AM181" t="str">
        <f>"ﾍﾞｱﾘﾝｸﾞ"</f>
        <v>ﾍﾞｱﾘﾝｸﾞ</v>
      </c>
      <c r="AN181" t="str">
        <f>"064"</f>
        <v>064</v>
      </c>
      <c r="AO181" t="str">
        <f>"T-10 ｾﾝﾖｳ"</f>
        <v>T-10 ｾﾝﾖｳ</v>
      </c>
      <c r="AP181">
        <v>1800</v>
      </c>
      <c r="AQ181" t="str">
        <f>""</f>
        <v/>
      </c>
      <c r="AR181" t="str">
        <f>""</f>
        <v/>
      </c>
      <c r="AS181" t="str">
        <f>""</f>
        <v/>
      </c>
      <c r="AT181" t="str">
        <f t="shared" si="172"/>
        <v>00</v>
      </c>
      <c r="AU181">
        <v>0.5</v>
      </c>
      <c r="AV181" t="str">
        <f>""</f>
        <v/>
      </c>
      <c r="AW181" t="str">
        <f>""</f>
        <v/>
      </c>
      <c r="AX181" t="str">
        <f>""</f>
        <v/>
      </c>
      <c r="AY181" t="str">
        <f>""</f>
        <v/>
      </c>
      <c r="AZ181" t="str">
        <f>""</f>
        <v/>
      </c>
      <c r="BA181" t="str">
        <f>""</f>
        <v/>
      </c>
      <c r="BB181" t="str">
        <f>"サンボックス＃Ｋ－１０Ｂフタナシ"</f>
        <v>サンボックス＃Ｋ－１０Ｂフタナシ</v>
      </c>
      <c r="BC181" t="str">
        <f>" 390.000"</f>
        <v xml:space="preserve"> 390.000</v>
      </c>
      <c r="BD181" t="str">
        <f>" 260.000"</f>
        <v xml:space="preserve"> 260.000</v>
      </c>
      <c r="BE181" t="str">
        <f>" 145.000"</f>
        <v xml:space="preserve"> 145.000</v>
      </c>
      <c r="BF181" t="str">
        <f t="shared" ref="BF181:BF187" si="243">"   0.015"</f>
        <v xml:space="preserve">   0.015</v>
      </c>
      <c r="BG181" t="str">
        <f>"   5.400"</f>
        <v xml:space="preserve">   5.400</v>
      </c>
      <c r="BH181" t="str">
        <f t="shared" si="221"/>
        <v>しない</v>
      </c>
      <c r="BI181" t="str">
        <f>""</f>
        <v/>
      </c>
      <c r="BJ181" t="str">
        <f t="shared" si="198"/>
        <v>MASTER01</v>
      </c>
      <c r="BK181" t="str">
        <f>"2023/01/17"</f>
        <v>2023/01/17</v>
      </c>
      <c r="BL181" t="str">
        <f t="shared" si="175"/>
        <v>NE00</v>
      </c>
      <c r="BM181" t="str">
        <f t="shared" si="176"/>
        <v>１工工務Ｇ</v>
      </c>
      <c r="BN181" t="str">
        <f t="shared" si="233"/>
        <v>46548</v>
      </c>
      <c r="BO181" t="str">
        <f t="shared" si="234"/>
        <v>長畑　玲奈</v>
      </c>
    </row>
    <row r="182" spans="1:67">
      <c r="A182" t="s">
        <v>266</v>
      </c>
      <c r="B182" t="str">
        <f>""</f>
        <v/>
      </c>
      <c r="C182" t="str">
        <f>""</f>
        <v/>
      </c>
      <c r="D182" t="s">
        <v>30</v>
      </c>
      <c r="E182" t="str">
        <f t="shared" si="162"/>
        <v>1Y</v>
      </c>
      <c r="F182" t="str">
        <f t="shared" si="163"/>
        <v>第１工場</v>
      </c>
      <c r="G182" t="str">
        <f t="shared" si="164"/>
        <v>手配</v>
      </c>
      <c r="H182" t="str">
        <f t="shared" si="165"/>
        <v>Ｐ</v>
      </c>
      <c r="I182" t="str">
        <f t="shared" si="237"/>
        <v>4287</v>
      </c>
      <c r="J182" t="str">
        <f t="shared" si="238"/>
        <v>日本精工（株）</v>
      </c>
      <c r="K182" t="str">
        <f t="shared" si="239"/>
        <v>02</v>
      </c>
      <c r="L182" t="str">
        <f t="shared" si="240"/>
        <v>三河分室</v>
      </c>
      <c r="M182" t="str">
        <f t="shared" si="222"/>
        <v>――</v>
      </c>
      <c r="N182" t="str">
        <f t="shared" si="215"/>
        <v>――</v>
      </c>
      <c r="O182" t="str">
        <f t="shared" si="166"/>
        <v>Ｍ</v>
      </c>
      <c r="P182" t="str">
        <f t="shared" si="167"/>
        <v>01</v>
      </c>
      <c r="Q182" t="str">
        <f t="shared" si="168"/>
        <v>第１</v>
      </c>
      <c r="R182" t="str">
        <f t="shared" si="169"/>
        <v>1Y</v>
      </c>
      <c r="S182" t="str">
        <f t="shared" si="170"/>
        <v>安城第１工場</v>
      </c>
      <c r="T182" t="str">
        <f t="shared" si="171"/>
        <v>直接</v>
      </c>
      <c r="U182" t="str">
        <f>""</f>
        <v/>
      </c>
      <c r="V182" t="str">
        <f>""</f>
        <v/>
      </c>
      <c r="W182" t="str">
        <f>""</f>
        <v/>
      </c>
      <c r="X182">
        <v>1</v>
      </c>
      <c r="Y182">
        <v>8</v>
      </c>
      <c r="Z182">
        <v>9</v>
      </c>
      <c r="AA182">
        <v>0.95</v>
      </c>
      <c r="AB182">
        <v>3</v>
      </c>
      <c r="AC182">
        <v>0.95</v>
      </c>
      <c r="AD182">
        <v>0.95</v>
      </c>
      <c r="AE182">
        <v>1.1000000000000001</v>
      </c>
      <c r="AF182">
        <v>0.5</v>
      </c>
      <c r="AG182" t="str">
        <f t="shared" si="241"/>
        <v>059</v>
      </c>
      <c r="AH182" t="str">
        <f t="shared" si="242"/>
        <v>日本精工（株）</v>
      </c>
      <c r="AI182" t="str">
        <f>"001"</f>
        <v>001</v>
      </c>
      <c r="AJ182" t="str">
        <f>"S-G-14"</f>
        <v>S-G-14</v>
      </c>
      <c r="AK182" t="str">
        <f>"40481"</f>
        <v>40481</v>
      </c>
      <c r="AL182" t="str">
        <f t="shared" ref="AL182:AL187" si="244">"9118"</f>
        <v>9118</v>
      </c>
      <c r="AM182" t="str">
        <f>"ﾍﾞｱﾘﾝｸﾞﾗｼﾞｱﾙﾎﾞｰﾙ"</f>
        <v>ﾍﾞｱﾘﾝｸﾞﾗｼﾞｱﾙﾎﾞｰﾙ</v>
      </c>
      <c r="AN182" t="str">
        <f>"087"</f>
        <v>087</v>
      </c>
      <c r="AO182" t="str">
        <f>"T-10 ﾊﾝﾖｳ"</f>
        <v>T-10 ﾊﾝﾖｳ</v>
      </c>
      <c r="AP182">
        <v>22</v>
      </c>
      <c r="AQ182" t="str">
        <f>""</f>
        <v/>
      </c>
      <c r="AR182" t="str">
        <f>""</f>
        <v/>
      </c>
      <c r="AS182" t="str">
        <f>""</f>
        <v/>
      </c>
      <c r="AT182" t="str">
        <f t="shared" si="172"/>
        <v>00</v>
      </c>
      <c r="AU182">
        <v>0.5</v>
      </c>
      <c r="AV182" t="str">
        <f>""</f>
        <v/>
      </c>
      <c r="AW182" t="str">
        <f>"08"</f>
        <v>08</v>
      </c>
      <c r="AX182" t="str">
        <f>"専用"</f>
        <v>専用</v>
      </c>
      <c r="AY182" t="str">
        <f>"01"</f>
        <v>01</v>
      </c>
      <c r="AZ182" t="str">
        <f>"後補充"</f>
        <v>後補充</v>
      </c>
      <c r="BA182" t="str">
        <f>""</f>
        <v/>
      </c>
      <c r="BB182" t="str">
        <f>"テンバコ１０フタナシ"</f>
        <v>テンバコ１０フタナシ</v>
      </c>
      <c r="BC182" t="str">
        <f>" 260.000"</f>
        <v xml:space="preserve"> 260.000</v>
      </c>
      <c r="BD182" t="str">
        <f>" 390.000"</f>
        <v xml:space="preserve"> 390.000</v>
      </c>
      <c r="BE182" t="str">
        <f>" 143.000"</f>
        <v xml:space="preserve"> 143.000</v>
      </c>
      <c r="BF182" t="str">
        <f t="shared" si="243"/>
        <v xml:space="preserve">   0.015</v>
      </c>
      <c r="BG182" t="str">
        <f>"  12.850"</f>
        <v xml:space="preserve">  12.850</v>
      </c>
      <c r="BH182" t="str">
        <f t="shared" si="221"/>
        <v>しない</v>
      </c>
      <c r="BI182" t="str">
        <f>""</f>
        <v/>
      </c>
      <c r="BJ182" t="str">
        <f t="shared" si="198"/>
        <v>MASTER01</v>
      </c>
      <c r="BK182" t="str">
        <f>"2022/04/19"</f>
        <v>2022/04/19</v>
      </c>
      <c r="BL182" t="str">
        <f t="shared" si="175"/>
        <v>NE00</v>
      </c>
      <c r="BM182" t="str">
        <f t="shared" si="176"/>
        <v>１工工務Ｇ</v>
      </c>
      <c r="BN182" t="str">
        <f t="shared" si="233"/>
        <v>46548</v>
      </c>
      <c r="BO182" t="str">
        <f t="shared" si="234"/>
        <v>長畑　玲奈</v>
      </c>
    </row>
    <row r="183" spans="1:67">
      <c r="A183" t="s">
        <v>267</v>
      </c>
      <c r="B183" t="str">
        <f>""</f>
        <v/>
      </c>
      <c r="C183" t="str">
        <f>""</f>
        <v/>
      </c>
      <c r="D183" t="s">
        <v>30</v>
      </c>
      <c r="E183" t="str">
        <f t="shared" si="162"/>
        <v>1Y</v>
      </c>
      <c r="F183" t="str">
        <f t="shared" si="163"/>
        <v>第１工場</v>
      </c>
      <c r="G183" t="str">
        <f t="shared" si="164"/>
        <v>手配</v>
      </c>
      <c r="H183" t="str">
        <f t="shared" si="165"/>
        <v>Ｐ</v>
      </c>
      <c r="I183" t="str">
        <f t="shared" si="237"/>
        <v>4287</v>
      </c>
      <c r="J183" t="str">
        <f t="shared" si="238"/>
        <v>日本精工（株）</v>
      </c>
      <c r="K183" t="str">
        <f t="shared" si="239"/>
        <v>02</v>
      </c>
      <c r="L183" t="str">
        <f t="shared" si="240"/>
        <v>三河分室</v>
      </c>
      <c r="M183" t="str">
        <f t="shared" si="222"/>
        <v>――</v>
      </c>
      <c r="N183" t="str">
        <f t="shared" si="215"/>
        <v>――</v>
      </c>
      <c r="O183" t="str">
        <f t="shared" si="166"/>
        <v>Ｍ</v>
      </c>
      <c r="P183" t="str">
        <f t="shared" si="167"/>
        <v>01</v>
      </c>
      <c r="Q183" t="str">
        <f t="shared" si="168"/>
        <v>第１</v>
      </c>
      <c r="R183" t="str">
        <f t="shared" si="169"/>
        <v>1Y</v>
      </c>
      <c r="S183" t="str">
        <f t="shared" si="170"/>
        <v>安城第１工場</v>
      </c>
      <c r="T183" t="str">
        <f t="shared" si="171"/>
        <v>直接</v>
      </c>
      <c r="U183" t="str">
        <f>""</f>
        <v/>
      </c>
      <c r="V183" t="str">
        <f>""</f>
        <v/>
      </c>
      <c r="W183" t="str">
        <f>""</f>
        <v/>
      </c>
      <c r="X183">
        <v>1</v>
      </c>
      <c r="Y183">
        <v>8</v>
      </c>
      <c r="Z183">
        <v>9</v>
      </c>
      <c r="AA183">
        <v>0.95</v>
      </c>
      <c r="AB183">
        <v>3</v>
      </c>
      <c r="AC183">
        <v>0.95</v>
      </c>
      <c r="AD183">
        <v>0.95</v>
      </c>
      <c r="AE183">
        <v>1.1000000000000001</v>
      </c>
      <c r="AF183">
        <v>0.5</v>
      </c>
      <c r="AG183" t="str">
        <f t="shared" si="241"/>
        <v>059</v>
      </c>
      <c r="AH183" t="str">
        <f t="shared" si="242"/>
        <v>日本精工（株）</v>
      </c>
      <c r="AI183" t="str">
        <f>"002"</f>
        <v>002</v>
      </c>
      <c r="AJ183" t="str">
        <f>"S-G-20"</f>
        <v>S-G-20</v>
      </c>
      <c r="AK183" t="str">
        <f>"40484"</f>
        <v>40484</v>
      </c>
      <c r="AL183" t="str">
        <f t="shared" si="244"/>
        <v>9118</v>
      </c>
      <c r="AM183" t="str">
        <f>"ﾍﾞｱﾘﾝｸﾞﾗｼﾞｱﾙﾎﾞｰﾙ"</f>
        <v>ﾍﾞｱﾘﾝｸﾞﾗｼﾞｱﾙﾎﾞｰﾙ</v>
      </c>
      <c r="AN183" t="str">
        <f>"087"</f>
        <v>087</v>
      </c>
      <c r="AO183" t="str">
        <f>"T-10 ﾊﾝﾖｳ"</f>
        <v>T-10 ﾊﾝﾖｳ</v>
      </c>
      <c r="AP183">
        <v>30</v>
      </c>
      <c r="AQ183" t="str">
        <f>""</f>
        <v/>
      </c>
      <c r="AR183" t="str">
        <f>""</f>
        <v/>
      </c>
      <c r="AS183" t="str">
        <f>""</f>
        <v/>
      </c>
      <c r="AT183" t="str">
        <f t="shared" si="172"/>
        <v>00</v>
      </c>
      <c r="AU183">
        <v>0.5</v>
      </c>
      <c r="AV183" t="str">
        <f>""</f>
        <v/>
      </c>
      <c r="AW183" t="str">
        <f>"08"</f>
        <v>08</v>
      </c>
      <c r="AX183" t="str">
        <f>"専用"</f>
        <v>専用</v>
      </c>
      <c r="AY183" t="str">
        <f>"01"</f>
        <v>01</v>
      </c>
      <c r="AZ183" t="str">
        <f>"後補充"</f>
        <v>後補充</v>
      </c>
      <c r="BA183" t="str">
        <f>""</f>
        <v/>
      </c>
      <c r="BB183" t="str">
        <f>"テンバコ１０フタナシ"</f>
        <v>テンバコ１０フタナシ</v>
      </c>
      <c r="BC183" t="str">
        <f>" 260.000"</f>
        <v xml:space="preserve"> 260.000</v>
      </c>
      <c r="BD183" t="str">
        <f>" 390.000"</f>
        <v xml:space="preserve"> 390.000</v>
      </c>
      <c r="BE183" t="str">
        <f>" 143.000"</f>
        <v xml:space="preserve"> 143.000</v>
      </c>
      <c r="BF183" t="str">
        <f t="shared" si="243"/>
        <v xml:space="preserve">   0.015</v>
      </c>
      <c r="BG183" t="str">
        <f>"   9.978"</f>
        <v xml:space="preserve">   9.978</v>
      </c>
      <c r="BH183" t="str">
        <f t="shared" si="221"/>
        <v>しない</v>
      </c>
      <c r="BI183" t="str">
        <f>""</f>
        <v/>
      </c>
      <c r="BJ183" t="str">
        <f t="shared" si="198"/>
        <v>MASTER01</v>
      </c>
      <c r="BK183" t="str">
        <f>"2022/04/19"</f>
        <v>2022/04/19</v>
      </c>
      <c r="BL183" t="str">
        <f t="shared" si="175"/>
        <v>NE00</v>
      </c>
      <c r="BM183" t="str">
        <f t="shared" si="176"/>
        <v>１工工務Ｇ</v>
      </c>
      <c r="BN183" t="str">
        <f t="shared" si="233"/>
        <v>46548</v>
      </c>
      <c r="BO183" t="str">
        <f t="shared" si="234"/>
        <v>長畑　玲奈</v>
      </c>
    </row>
    <row r="184" spans="1:67">
      <c r="A184" t="s">
        <v>268</v>
      </c>
      <c r="B184" t="str">
        <f>""</f>
        <v/>
      </c>
      <c r="C184" t="str">
        <f>""</f>
        <v/>
      </c>
      <c r="D184" t="s">
        <v>30</v>
      </c>
      <c r="E184" t="str">
        <f t="shared" si="162"/>
        <v>1Y</v>
      </c>
      <c r="F184" t="str">
        <f t="shared" si="163"/>
        <v>第１工場</v>
      </c>
      <c r="G184" t="str">
        <f t="shared" si="164"/>
        <v>手配</v>
      </c>
      <c r="H184" t="str">
        <f t="shared" si="165"/>
        <v>Ｐ</v>
      </c>
      <c r="I184" t="str">
        <f t="shared" si="237"/>
        <v>4287</v>
      </c>
      <c r="J184" t="str">
        <f t="shared" si="238"/>
        <v>日本精工（株）</v>
      </c>
      <c r="K184" t="str">
        <f t="shared" si="239"/>
        <v>02</v>
      </c>
      <c r="L184" t="str">
        <f t="shared" si="240"/>
        <v>三河分室</v>
      </c>
      <c r="M184" t="str">
        <f t="shared" si="222"/>
        <v>――</v>
      </c>
      <c r="N184" t="str">
        <f t="shared" si="215"/>
        <v>――</v>
      </c>
      <c r="O184" t="str">
        <f t="shared" si="166"/>
        <v>Ｍ</v>
      </c>
      <c r="P184" t="str">
        <f t="shared" si="167"/>
        <v>01</v>
      </c>
      <c r="Q184" t="str">
        <f t="shared" si="168"/>
        <v>第１</v>
      </c>
      <c r="R184" t="str">
        <f t="shared" si="169"/>
        <v>1Y</v>
      </c>
      <c r="S184" t="str">
        <f t="shared" si="170"/>
        <v>安城第１工場</v>
      </c>
      <c r="T184" t="str">
        <f t="shared" si="171"/>
        <v>直接</v>
      </c>
      <c r="U184" t="str">
        <f>""</f>
        <v/>
      </c>
      <c r="V184" t="str">
        <f>""</f>
        <v/>
      </c>
      <c r="W184" t="str">
        <f>""</f>
        <v/>
      </c>
      <c r="X184">
        <v>1</v>
      </c>
      <c r="Y184">
        <v>8</v>
      </c>
      <c r="Z184">
        <v>9</v>
      </c>
      <c r="AA184">
        <v>0.95</v>
      </c>
      <c r="AB184">
        <v>3</v>
      </c>
      <c r="AC184">
        <v>0.95</v>
      </c>
      <c r="AD184">
        <v>0.95</v>
      </c>
      <c r="AE184">
        <v>1.1000000000000001</v>
      </c>
      <c r="AF184">
        <v>0.5</v>
      </c>
      <c r="AG184" t="str">
        <f t="shared" si="241"/>
        <v>059</v>
      </c>
      <c r="AH184" t="str">
        <f t="shared" si="242"/>
        <v>日本精工（株）</v>
      </c>
      <c r="AI184" t="str">
        <f>"004"</f>
        <v>004</v>
      </c>
      <c r="AJ184" t="str">
        <f>"S-G-9"</f>
        <v>S-G-9</v>
      </c>
      <c r="AK184" t="str">
        <f>"40482"</f>
        <v>40482</v>
      </c>
      <c r="AL184" t="str">
        <f t="shared" si="244"/>
        <v>9118</v>
      </c>
      <c r="AM184" t="str">
        <f>"ﾍﾞｱﾘﾝｸﾞﾗｼﾞｱﾙﾎﾞｰﾙ"</f>
        <v>ﾍﾞｱﾘﾝｸﾞﾗｼﾞｱﾙﾎﾞｰﾙ</v>
      </c>
      <c r="AN184" t="str">
        <f>"064"</f>
        <v>064</v>
      </c>
      <c r="AO184" t="str">
        <f>"T-10 ｾﾝﾖｳ"</f>
        <v>T-10 ｾﾝﾖｳ</v>
      </c>
      <c r="AP184">
        <v>22</v>
      </c>
      <c r="AQ184" t="str">
        <f>""</f>
        <v/>
      </c>
      <c r="AR184" t="str">
        <f>""</f>
        <v/>
      </c>
      <c r="AS184" t="str">
        <f>""</f>
        <v/>
      </c>
      <c r="AT184" t="str">
        <f t="shared" si="172"/>
        <v>00</v>
      </c>
      <c r="AU184">
        <v>0.5</v>
      </c>
      <c r="AV184" t="str">
        <f>""</f>
        <v/>
      </c>
      <c r="AW184" t="str">
        <f>"08"</f>
        <v>08</v>
      </c>
      <c r="AX184" t="str">
        <f>"専用"</f>
        <v>専用</v>
      </c>
      <c r="AY184" t="str">
        <f>"01"</f>
        <v>01</v>
      </c>
      <c r="AZ184" t="str">
        <f>"後補充"</f>
        <v>後補充</v>
      </c>
      <c r="BA184" t="str">
        <f>""</f>
        <v/>
      </c>
      <c r="BB184" t="str">
        <f>"サンボックス＃Ｋ－１０Ｂフタナシ"</f>
        <v>サンボックス＃Ｋ－１０Ｂフタナシ</v>
      </c>
      <c r="BC184" t="str">
        <f>" 260.000"</f>
        <v xml:space="preserve"> 260.000</v>
      </c>
      <c r="BD184" t="str">
        <f>" 390.000"</f>
        <v xml:space="preserve"> 390.000</v>
      </c>
      <c r="BE184" t="str">
        <f>" 143.000"</f>
        <v xml:space="preserve"> 143.000</v>
      </c>
      <c r="BF184" t="str">
        <f t="shared" si="243"/>
        <v xml:space="preserve">   0.015</v>
      </c>
      <c r="BG184" t="str">
        <f>"  11.860"</f>
        <v xml:space="preserve">  11.860</v>
      </c>
      <c r="BH184" t="str">
        <f t="shared" si="221"/>
        <v>しない</v>
      </c>
      <c r="BI184" t="str">
        <f>""</f>
        <v/>
      </c>
      <c r="BJ184" t="str">
        <f t="shared" si="198"/>
        <v>MASTER01</v>
      </c>
      <c r="BK184" t="str">
        <f>"2022/04/19"</f>
        <v>2022/04/19</v>
      </c>
      <c r="BL184" t="str">
        <f t="shared" si="175"/>
        <v>NE00</v>
      </c>
      <c r="BM184" t="str">
        <f t="shared" si="176"/>
        <v>１工工務Ｇ</v>
      </c>
      <c r="BN184" t="str">
        <f t="shared" si="233"/>
        <v>46548</v>
      </c>
      <c r="BO184" t="str">
        <f t="shared" si="234"/>
        <v>長畑　玲奈</v>
      </c>
    </row>
    <row r="185" spans="1:67">
      <c r="A185" t="s">
        <v>269</v>
      </c>
      <c r="B185" t="str">
        <f>""</f>
        <v/>
      </c>
      <c r="C185" t="str">
        <f>""</f>
        <v/>
      </c>
      <c r="D185" t="s">
        <v>30</v>
      </c>
      <c r="E185" t="str">
        <f t="shared" si="162"/>
        <v>1Y</v>
      </c>
      <c r="F185" t="str">
        <f t="shared" si="163"/>
        <v>第１工場</v>
      </c>
      <c r="G185" t="str">
        <f t="shared" si="164"/>
        <v>手配</v>
      </c>
      <c r="H185" t="str">
        <f t="shared" si="165"/>
        <v>Ｐ</v>
      </c>
      <c r="I185" t="str">
        <f t="shared" si="237"/>
        <v>4287</v>
      </c>
      <c r="J185" t="str">
        <f t="shared" si="238"/>
        <v>日本精工（株）</v>
      </c>
      <c r="K185" t="str">
        <f t="shared" si="239"/>
        <v>02</v>
      </c>
      <c r="L185" t="str">
        <f t="shared" si="240"/>
        <v>三河分室</v>
      </c>
      <c r="M185" t="str">
        <f t="shared" si="222"/>
        <v>――</v>
      </c>
      <c r="N185" t="str">
        <f t="shared" si="215"/>
        <v>――</v>
      </c>
      <c r="O185" t="str">
        <f t="shared" si="166"/>
        <v>Ｍ</v>
      </c>
      <c r="P185" t="str">
        <f t="shared" si="167"/>
        <v>01</v>
      </c>
      <c r="Q185" t="str">
        <f t="shared" si="168"/>
        <v>第１</v>
      </c>
      <c r="R185" t="str">
        <f t="shared" si="169"/>
        <v>1Y</v>
      </c>
      <c r="S185" t="str">
        <f t="shared" si="170"/>
        <v>安城第１工場</v>
      </c>
      <c r="T185" t="str">
        <f t="shared" si="171"/>
        <v>直接</v>
      </c>
      <c r="U185" t="str">
        <f>""</f>
        <v/>
      </c>
      <c r="V185" t="str">
        <f>""</f>
        <v/>
      </c>
      <c r="W185" t="str">
        <f>""</f>
        <v/>
      </c>
      <c r="X185">
        <v>1</v>
      </c>
      <c r="Y185">
        <v>8</v>
      </c>
      <c r="Z185">
        <v>9</v>
      </c>
      <c r="AA185">
        <v>0.95</v>
      </c>
      <c r="AB185">
        <v>3</v>
      </c>
      <c r="AC185">
        <v>0.95</v>
      </c>
      <c r="AD185">
        <v>0.95</v>
      </c>
      <c r="AE185">
        <v>1.1000000000000001</v>
      </c>
      <c r="AF185">
        <v>0.5</v>
      </c>
      <c r="AG185" t="str">
        <f t="shared" si="241"/>
        <v>059</v>
      </c>
      <c r="AH185" t="str">
        <f t="shared" si="242"/>
        <v>日本精工（株）</v>
      </c>
      <c r="AI185" t="str">
        <f>"006"</f>
        <v>006</v>
      </c>
      <c r="AJ185" t="str">
        <f>""</f>
        <v/>
      </c>
      <c r="AK185" t="str">
        <f>""</f>
        <v/>
      </c>
      <c r="AL185" t="str">
        <f t="shared" si="244"/>
        <v>9118</v>
      </c>
      <c r="AM185" t="str">
        <f>"ﾍﾞｱﾘﾝｸﾞ ﾗｼﾞｱﾙﾎﾞｰﾙ"</f>
        <v>ﾍﾞｱﾘﾝｸﾞ ﾗｼﾞｱﾙﾎﾞｰﾙ</v>
      </c>
      <c r="AN185" t="str">
        <f>"087"</f>
        <v>087</v>
      </c>
      <c r="AO185" t="str">
        <f>"T-10 ﾊﾝﾖｳ"</f>
        <v>T-10 ﾊﾝﾖｳ</v>
      </c>
      <c r="AP185">
        <v>90</v>
      </c>
      <c r="AQ185" t="str">
        <f>""</f>
        <v/>
      </c>
      <c r="AR185" t="str">
        <f>""</f>
        <v/>
      </c>
      <c r="AS185" t="str">
        <f>""</f>
        <v/>
      </c>
      <c r="AT185" t="str">
        <f t="shared" si="172"/>
        <v>00</v>
      </c>
      <c r="AU185">
        <v>0.5</v>
      </c>
      <c r="AV185" t="str">
        <f>""</f>
        <v/>
      </c>
      <c r="AW185" t="str">
        <f>""</f>
        <v/>
      </c>
      <c r="AX185" t="str">
        <f>""</f>
        <v/>
      </c>
      <c r="AY185" t="str">
        <f>""</f>
        <v/>
      </c>
      <c r="AZ185" t="str">
        <f>""</f>
        <v/>
      </c>
      <c r="BA185" t="str">
        <f>""</f>
        <v/>
      </c>
      <c r="BB185" t="str">
        <f>"テンバコ１０フタナシ"</f>
        <v>テンバコ１０フタナシ</v>
      </c>
      <c r="BC185" t="str">
        <f>" 260.000"</f>
        <v xml:space="preserve"> 260.000</v>
      </c>
      <c r="BD185" t="str">
        <f>" 390.000"</f>
        <v xml:space="preserve"> 390.000</v>
      </c>
      <c r="BE185" t="str">
        <f>" 146.000"</f>
        <v xml:space="preserve"> 146.000</v>
      </c>
      <c r="BF185" t="str">
        <f t="shared" si="243"/>
        <v xml:space="preserve">   0.015</v>
      </c>
      <c r="BG185" t="str">
        <f>"  14.400"</f>
        <v xml:space="preserve">  14.400</v>
      </c>
      <c r="BH185" t="str">
        <f t="shared" si="221"/>
        <v>しない</v>
      </c>
      <c r="BI185" t="str">
        <f>""</f>
        <v/>
      </c>
      <c r="BJ185" t="str">
        <f t="shared" si="198"/>
        <v>MASTER01</v>
      </c>
      <c r="BK185" t="str">
        <f>"2023/01/17"</f>
        <v>2023/01/17</v>
      </c>
      <c r="BL185" t="str">
        <f t="shared" si="175"/>
        <v>NE00</v>
      </c>
      <c r="BM185" t="str">
        <f t="shared" si="176"/>
        <v>１工工務Ｇ</v>
      </c>
      <c r="BN185" t="str">
        <f t="shared" si="233"/>
        <v>46548</v>
      </c>
      <c r="BO185" t="str">
        <f t="shared" si="234"/>
        <v>長畑　玲奈</v>
      </c>
    </row>
    <row r="186" spans="1:67">
      <c r="A186">
        <v>9036340085</v>
      </c>
      <c r="B186" t="str">
        <f>""</f>
        <v/>
      </c>
      <c r="C186" t="str">
        <f>""</f>
        <v/>
      </c>
      <c r="D186" t="s">
        <v>30</v>
      </c>
      <c r="E186" t="str">
        <f t="shared" si="162"/>
        <v>1Y</v>
      </c>
      <c r="F186" t="str">
        <f t="shared" si="163"/>
        <v>第１工場</v>
      </c>
      <c r="G186" t="str">
        <f t="shared" si="164"/>
        <v>手配</v>
      </c>
      <c r="H186" t="str">
        <f t="shared" si="165"/>
        <v>Ｐ</v>
      </c>
      <c r="I186" t="str">
        <f t="shared" si="237"/>
        <v>4287</v>
      </c>
      <c r="J186" t="str">
        <f t="shared" si="238"/>
        <v>日本精工（株）</v>
      </c>
      <c r="K186" t="str">
        <f t="shared" si="239"/>
        <v>02</v>
      </c>
      <c r="L186" t="str">
        <f t="shared" si="240"/>
        <v>三河分室</v>
      </c>
      <c r="M186" t="str">
        <f t="shared" si="222"/>
        <v>――</v>
      </c>
      <c r="N186" t="str">
        <f t="shared" si="215"/>
        <v>――</v>
      </c>
      <c r="O186" t="str">
        <f t="shared" si="166"/>
        <v>Ｍ</v>
      </c>
      <c r="P186" t="str">
        <f t="shared" si="167"/>
        <v>01</v>
      </c>
      <c r="Q186" t="str">
        <f t="shared" si="168"/>
        <v>第１</v>
      </c>
      <c r="R186" t="str">
        <f t="shared" si="169"/>
        <v>1Y</v>
      </c>
      <c r="S186" t="str">
        <f t="shared" si="170"/>
        <v>安城第１工場</v>
      </c>
      <c r="T186" t="str">
        <f t="shared" si="171"/>
        <v>直接</v>
      </c>
      <c r="U186" t="str">
        <f>""</f>
        <v/>
      </c>
      <c r="V186" t="str">
        <f>""</f>
        <v/>
      </c>
      <c r="W186" t="str">
        <f>""</f>
        <v/>
      </c>
      <c r="X186">
        <v>1</v>
      </c>
      <c r="Y186">
        <v>8</v>
      </c>
      <c r="Z186">
        <v>9</v>
      </c>
      <c r="AA186">
        <v>0.97</v>
      </c>
      <c r="AB186">
        <v>3</v>
      </c>
      <c r="AC186">
        <v>0.97</v>
      </c>
      <c r="AD186">
        <v>0.97</v>
      </c>
      <c r="AE186">
        <v>1.1000000000000001</v>
      </c>
      <c r="AF186">
        <v>0.5</v>
      </c>
      <c r="AG186" t="str">
        <f t="shared" si="241"/>
        <v>059</v>
      </c>
      <c r="AH186" t="str">
        <f t="shared" si="242"/>
        <v>日本精工（株）</v>
      </c>
      <c r="AI186" t="str">
        <f>"003"</f>
        <v>003</v>
      </c>
      <c r="AJ186" t="str">
        <f>"S-G-18"</f>
        <v>S-G-18</v>
      </c>
      <c r="AK186" t="str">
        <f>"40483"</f>
        <v>40483</v>
      </c>
      <c r="AL186" t="str">
        <f t="shared" si="244"/>
        <v>9118</v>
      </c>
      <c r="AM186" t="str">
        <f>"ﾍﾞｱﾘﾝｸﾞﾗｼﾞｱﾙﾎﾞｰﾙ"</f>
        <v>ﾍﾞｱﾘﾝｸﾞﾗｼﾞｱﾙﾎﾞｰﾙ</v>
      </c>
      <c r="AN186" t="str">
        <f>"064"</f>
        <v>064</v>
      </c>
      <c r="AO186" t="str">
        <f>"T-10 ｾﾝﾖｳ"</f>
        <v>T-10 ｾﾝﾖｳ</v>
      </c>
      <c r="AP186">
        <v>80</v>
      </c>
      <c r="AQ186" t="str">
        <f>""</f>
        <v/>
      </c>
      <c r="AR186" t="str">
        <f>""</f>
        <v/>
      </c>
      <c r="AS186" t="str">
        <f>""</f>
        <v/>
      </c>
      <c r="AT186" t="str">
        <f t="shared" si="172"/>
        <v>00</v>
      </c>
      <c r="AU186">
        <v>0.5</v>
      </c>
      <c r="AV186" t="str">
        <f>""</f>
        <v/>
      </c>
      <c r="AW186" t="str">
        <f>"08"</f>
        <v>08</v>
      </c>
      <c r="AX186" t="str">
        <f>"専用"</f>
        <v>専用</v>
      </c>
      <c r="AY186" t="str">
        <f>"01"</f>
        <v>01</v>
      </c>
      <c r="AZ186" t="str">
        <f>"後補充"</f>
        <v>後補充</v>
      </c>
      <c r="BA186" t="str">
        <f>""</f>
        <v/>
      </c>
      <c r="BB186" t="str">
        <f>"サンボックス＃Ｋ－１０Ｂフタナシ"</f>
        <v>サンボックス＃Ｋ－１０Ｂフタナシ</v>
      </c>
      <c r="BC186" t="str">
        <f>" 390.000"</f>
        <v xml:space="preserve"> 390.000</v>
      </c>
      <c r="BD186" t="str">
        <f>" 260.000"</f>
        <v xml:space="preserve"> 260.000</v>
      </c>
      <c r="BE186" t="str">
        <f>" 143.000"</f>
        <v xml:space="preserve"> 143.000</v>
      </c>
      <c r="BF186" t="str">
        <f t="shared" si="243"/>
        <v xml:space="preserve">   0.015</v>
      </c>
      <c r="BG186" t="str">
        <f>"   9.301"</f>
        <v xml:space="preserve">   9.301</v>
      </c>
      <c r="BH186" t="str">
        <f t="shared" si="221"/>
        <v>しない</v>
      </c>
      <c r="BI186" t="str">
        <f>""</f>
        <v/>
      </c>
      <c r="BJ186" t="str">
        <f t="shared" si="198"/>
        <v>MASTER01</v>
      </c>
      <c r="BK186" t="str">
        <f>"2022/04/19"</f>
        <v>2022/04/19</v>
      </c>
      <c r="BL186" t="str">
        <f t="shared" si="175"/>
        <v>NE00</v>
      </c>
      <c r="BM186" t="str">
        <f t="shared" si="176"/>
        <v>１工工務Ｇ</v>
      </c>
      <c r="BN186" t="str">
        <f t="shared" si="233"/>
        <v>46548</v>
      </c>
      <c r="BO186" t="str">
        <f t="shared" si="234"/>
        <v>長畑　玲奈</v>
      </c>
    </row>
    <row r="187" spans="1:67">
      <c r="A187" t="s">
        <v>270</v>
      </c>
      <c r="B187" t="str">
        <f>""</f>
        <v/>
      </c>
      <c r="C187" t="str">
        <f>""</f>
        <v/>
      </c>
      <c r="D187" t="s">
        <v>30</v>
      </c>
      <c r="E187" t="str">
        <f t="shared" si="162"/>
        <v>1Y</v>
      </c>
      <c r="F187" t="str">
        <f t="shared" si="163"/>
        <v>第１工場</v>
      </c>
      <c r="G187" t="str">
        <f t="shared" si="164"/>
        <v>手配</v>
      </c>
      <c r="H187" t="str">
        <f t="shared" si="165"/>
        <v>Ｐ</v>
      </c>
      <c r="I187" t="str">
        <f t="shared" si="237"/>
        <v>4287</v>
      </c>
      <c r="J187" t="str">
        <f t="shared" si="238"/>
        <v>日本精工（株）</v>
      </c>
      <c r="K187" t="str">
        <f t="shared" si="239"/>
        <v>02</v>
      </c>
      <c r="L187" t="str">
        <f t="shared" si="240"/>
        <v>三河分室</v>
      </c>
      <c r="M187" t="str">
        <f t="shared" si="222"/>
        <v>――</v>
      </c>
      <c r="N187" t="str">
        <f t="shared" si="215"/>
        <v>――</v>
      </c>
      <c r="O187" t="str">
        <f t="shared" si="166"/>
        <v>Ｍ</v>
      </c>
      <c r="P187" t="str">
        <f t="shared" si="167"/>
        <v>01</v>
      </c>
      <c r="Q187" t="str">
        <f t="shared" si="168"/>
        <v>第１</v>
      </c>
      <c r="R187" t="str">
        <f t="shared" si="169"/>
        <v>1Y</v>
      </c>
      <c r="S187" t="str">
        <f t="shared" si="170"/>
        <v>安城第１工場</v>
      </c>
      <c r="T187" t="str">
        <f t="shared" si="171"/>
        <v>直接</v>
      </c>
      <c r="U187" t="str">
        <f>""</f>
        <v/>
      </c>
      <c r="V187" t="str">
        <f>""</f>
        <v/>
      </c>
      <c r="W187" t="str">
        <f>""</f>
        <v/>
      </c>
      <c r="X187">
        <v>1</v>
      </c>
      <c r="Y187">
        <v>8</v>
      </c>
      <c r="Z187">
        <v>9</v>
      </c>
      <c r="AA187">
        <v>0.97</v>
      </c>
      <c r="AB187">
        <v>3</v>
      </c>
      <c r="AC187">
        <v>0.97</v>
      </c>
      <c r="AD187">
        <v>0.97</v>
      </c>
      <c r="AE187">
        <v>1.1000000000000001</v>
      </c>
      <c r="AF187">
        <v>0.5</v>
      </c>
      <c r="AG187" t="str">
        <f t="shared" si="241"/>
        <v>059</v>
      </c>
      <c r="AH187" t="str">
        <f t="shared" si="242"/>
        <v>日本精工（株）</v>
      </c>
      <c r="AI187" t="str">
        <f>"005"</f>
        <v>005</v>
      </c>
      <c r="AJ187" t="str">
        <f>"S-G-18"</f>
        <v>S-G-18</v>
      </c>
      <c r="AK187" t="str">
        <f>"40503"</f>
        <v>40503</v>
      </c>
      <c r="AL187" t="str">
        <f t="shared" si="244"/>
        <v>9118</v>
      </c>
      <c r="AM187" t="str">
        <f>"ﾍﾞｱﾘﾝｸﾞ ﾗｼﾞｱﾙﾎﾞｰﾙ"</f>
        <v>ﾍﾞｱﾘﾝｸﾞ ﾗｼﾞｱﾙﾎﾞｰﾙ</v>
      </c>
      <c r="AN187" t="str">
        <f>"064"</f>
        <v>064</v>
      </c>
      <c r="AO187" t="str">
        <f>"T-10 ｾﾝﾖｳ"</f>
        <v>T-10 ｾﾝﾖｳ</v>
      </c>
      <c r="AP187">
        <v>80</v>
      </c>
      <c r="AQ187" t="str">
        <f>""</f>
        <v/>
      </c>
      <c r="AR187" t="str">
        <f>""</f>
        <v/>
      </c>
      <c r="AS187" t="str">
        <f>""</f>
        <v/>
      </c>
      <c r="AT187" t="str">
        <f t="shared" si="172"/>
        <v>00</v>
      </c>
      <c r="AU187">
        <v>0.5</v>
      </c>
      <c r="AV187" t="str">
        <f>""</f>
        <v/>
      </c>
      <c r="AW187" t="str">
        <f>"08"</f>
        <v>08</v>
      </c>
      <c r="AX187" t="str">
        <f>"専用"</f>
        <v>専用</v>
      </c>
      <c r="AY187" t="str">
        <f>"01"</f>
        <v>01</v>
      </c>
      <c r="AZ187" t="str">
        <f>"後補充"</f>
        <v>後補充</v>
      </c>
      <c r="BA187" t="str">
        <f>""</f>
        <v/>
      </c>
      <c r="BB187" t="str">
        <f>"サンボックス＃Ｋ－１０Ｂフタナシ"</f>
        <v>サンボックス＃Ｋ－１０Ｂフタナシ</v>
      </c>
      <c r="BC187" t="str">
        <f>" 390.000"</f>
        <v xml:space="preserve"> 390.000</v>
      </c>
      <c r="BD187" t="str">
        <f>" 260.000"</f>
        <v xml:space="preserve"> 260.000</v>
      </c>
      <c r="BE187" t="str">
        <f>" 143.000"</f>
        <v xml:space="preserve"> 143.000</v>
      </c>
      <c r="BF187" t="str">
        <f t="shared" si="243"/>
        <v xml:space="preserve">   0.015</v>
      </c>
      <c r="BG187" t="str">
        <f>"   9.301"</f>
        <v xml:space="preserve">   9.301</v>
      </c>
      <c r="BH187" t="str">
        <f t="shared" si="221"/>
        <v>しない</v>
      </c>
      <c r="BI187" t="str">
        <f>""</f>
        <v/>
      </c>
      <c r="BJ187" t="str">
        <f t="shared" si="198"/>
        <v>MASTER01</v>
      </c>
      <c r="BK187" t="str">
        <f>"2022/07/28"</f>
        <v>2022/07/28</v>
      </c>
      <c r="BL187" t="str">
        <f t="shared" si="175"/>
        <v>NE00</v>
      </c>
      <c r="BM187" t="str">
        <f t="shared" si="176"/>
        <v>１工工務Ｇ</v>
      </c>
      <c r="BN187" t="str">
        <f t="shared" si="233"/>
        <v>46548</v>
      </c>
      <c r="BO187" t="str">
        <f t="shared" si="234"/>
        <v>長畑　玲奈</v>
      </c>
    </row>
    <row r="188" spans="1:67">
      <c r="A188" t="s">
        <v>271</v>
      </c>
      <c r="B188" t="str">
        <f>""</f>
        <v/>
      </c>
      <c r="C188" t="str">
        <f>""</f>
        <v/>
      </c>
      <c r="D188" t="s">
        <v>81</v>
      </c>
      <c r="E188" t="str">
        <f t="shared" si="162"/>
        <v>1Y</v>
      </c>
      <c r="F188" t="str">
        <f t="shared" si="163"/>
        <v>第１工場</v>
      </c>
      <c r="G188" t="str">
        <f t="shared" si="164"/>
        <v>手配</v>
      </c>
      <c r="H188" t="str">
        <f t="shared" si="165"/>
        <v>Ｐ</v>
      </c>
      <c r="I188" t="str">
        <f>"5014"</f>
        <v>5014</v>
      </c>
      <c r="J188" t="str">
        <f>"（株）浜名製作所"</f>
        <v>（株）浜名製作所</v>
      </c>
      <c r="K188" t="str">
        <f t="shared" ref="K188:K251" si="245">"01"</f>
        <v>01</v>
      </c>
      <c r="L188" t="str">
        <f>"本社工場"</f>
        <v>本社工場</v>
      </c>
      <c r="M188" t="str">
        <f t="shared" si="222"/>
        <v>――</v>
      </c>
      <c r="N188" t="str">
        <f t="shared" si="215"/>
        <v>――</v>
      </c>
      <c r="O188" t="str">
        <f t="shared" si="166"/>
        <v>Ｍ</v>
      </c>
      <c r="P188" t="str">
        <f t="shared" si="167"/>
        <v>01</v>
      </c>
      <c r="Q188" t="str">
        <f t="shared" si="168"/>
        <v>第１</v>
      </c>
      <c r="R188" t="str">
        <f t="shared" si="169"/>
        <v>1Y</v>
      </c>
      <c r="S188" t="str">
        <f t="shared" si="170"/>
        <v>安城第１工場</v>
      </c>
      <c r="T188" t="str">
        <f t="shared" si="171"/>
        <v>直接</v>
      </c>
      <c r="U188" t="str">
        <f>""</f>
        <v/>
      </c>
      <c r="V188" t="str">
        <f>""</f>
        <v/>
      </c>
      <c r="W188" t="str">
        <f>""</f>
        <v/>
      </c>
      <c r="X188">
        <v>1</v>
      </c>
      <c r="Y188">
        <v>2</v>
      </c>
      <c r="Z188">
        <v>4.66</v>
      </c>
      <c r="AA188">
        <v>1.64</v>
      </c>
      <c r="AB188">
        <v>0</v>
      </c>
      <c r="AC188">
        <v>1.64</v>
      </c>
      <c r="AD188">
        <v>1.64</v>
      </c>
      <c r="AE188">
        <v>1.1000000000000001</v>
      </c>
      <c r="AF188">
        <v>0.5</v>
      </c>
      <c r="AG188" t="str">
        <f>"051"</f>
        <v>051</v>
      </c>
      <c r="AH188" t="str">
        <f>"（株）浜名製作所"</f>
        <v>（株）浜名製作所</v>
      </c>
      <c r="AI188" t="str">
        <f>"002"</f>
        <v>002</v>
      </c>
      <c r="AJ188" t="str">
        <f>""</f>
        <v/>
      </c>
      <c r="AK188" t="str">
        <f>""</f>
        <v/>
      </c>
      <c r="AL188" t="str">
        <f>"0672"</f>
        <v>0672</v>
      </c>
      <c r="AM188" t="s">
        <v>82</v>
      </c>
      <c r="AN188" t="str">
        <f>"012"</f>
        <v>012</v>
      </c>
      <c r="AO188" t="str">
        <f>"TP-131 ﾊﾝﾖｳ"</f>
        <v>TP-131 ﾊﾝﾖｳ</v>
      </c>
      <c r="AP188">
        <v>100</v>
      </c>
      <c r="AQ188" t="str">
        <f>""</f>
        <v/>
      </c>
      <c r="AR188" t="str">
        <f>""</f>
        <v/>
      </c>
      <c r="AS188" t="str">
        <f>""</f>
        <v/>
      </c>
      <c r="AT188" t="str">
        <f t="shared" si="172"/>
        <v>00</v>
      </c>
      <c r="AU188">
        <v>0.8</v>
      </c>
      <c r="AV188" t="str">
        <f>""</f>
        <v/>
      </c>
      <c r="AW188" t="str">
        <f>""</f>
        <v/>
      </c>
      <c r="AX188" t="str">
        <f>""</f>
        <v/>
      </c>
      <c r="AY188" t="str">
        <f>""</f>
        <v/>
      </c>
      <c r="AZ188" t="str">
        <f>""</f>
        <v/>
      </c>
      <c r="BA188" t="str">
        <f>""</f>
        <v/>
      </c>
      <c r="BB188" t="str">
        <f>""</f>
        <v/>
      </c>
      <c r="BC188" t="str">
        <f>" 335.000"</f>
        <v xml:space="preserve"> 335.000</v>
      </c>
      <c r="BD188" t="str">
        <f>" 168.000"</f>
        <v xml:space="preserve"> 168.000</v>
      </c>
      <c r="BE188" t="str">
        <f>" 103.000"</f>
        <v xml:space="preserve"> 103.000</v>
      </c>
      <c r="BF188" t="str">
        <f>"   0.006"</f>
        <v xml:space="preserve">   0.006</v>
      </c>
      <c r="BG188" t="str">
        <f>"   7.760"</f>
        <v xml:space="preserve">   7.760</v>
      </c>
      <c r="BH188" t="str">
        <f t="shared" si="221"/>
        <v>しない</v>
      </c>
      <c r="BI188" t="str">
        <f>""</f>
        <v/>
      </c>
      <c r="BJ188" t="str">
        <f t="shared" si="198"/>
        <v>MASTER01</v>
      </c>
      <c r="BK188" t="str">
        <f>"2023/01/17"</f>
        <v>2023/01/17</v>
      </c>
      <c r="BL188" t="str">
        <f t="shared" si="175"/>
        <v>NE00</v>
      </c>
      <c r="BM188" t="str">
        <f t="shared" si="176"/>
        <v>１工工務Ｇ</v>
      </c>
      <c r="BN188" t="str">
        <f t="shared" si="233"/>
        <v>46548</v>
      </c>
      <c r="BO188" t="str">
        <f t="shared" si="234"/>
        <v>長畑　玲奈</v>
      </c>
    </row>
    <row r="189" spans="1:67">
      <c r="A189" t="s">
        <v>272</v>
      </c>
      <c r="B189" t="str">
        <f>""</f>
        <v/>
      </c>
      <c r="C189" t="str">
        <f>""</f>
        <v/>
      </c>
      <c r="D189" t="s">
        <v>83</v>
      </c>
      <c r="E189" t="str">
        <f t="shared" si="162"/>
        <v>1Y</v>
      </c>
      <c r="F189" t="str">
        <f t="shared" si="163"/>
        <v>第１工場</v>
      </c>
      <c r="G189" t="str">
        <f t="shared" si="164"/>
        <v>手配</v>
      </c>
      <c r="H189" t="str">
        <f t="shared" si="165"/>
        <v>Ｐ</v>
      </c>
      <c r="I189" t="str">
        <f>"6065"</f>
        <v>6065</v>
      </c>
      <c r="J189" t="str">
        <f>"（株）松尾製作所"</f>
        <v>（株）松尾製作所</v>
      </c>
      <c r="K189" t="str">
        <f t="shared" si="245"/>
        <v>01</v>
      </c>
      <c r="L189" t="str">
        <f>""</f>
        <v/>
      </c>
      <c r="M189" t="str">
        <f t="shared" si="222"/>
        <v>――</v>
      </c>
      <c r="N189" t="str">
        <f t="shared" si="215"/>
        <v>――</v>
      </c>
      <c r="O189" t="str">
        <f t="shared" si="166"/>
        <v>Ｍ</v>
      </c>
      <c r="P189" t="str">
        <f t="shared" si="167"/>
        <v>01</v>
      </c>
      <c r="Q189" t="str">
        <f t="shared" si="168"/>
        <v>第１</v>
      </c>
      <c r="R189" t="str">
        <f t="shared" si="169"/>
        <v>1Y</v>
      </c>
      <c r="S189" t="str">
        <f t="shared" si="170"/>
        <v>安城第１工場</v>
      </c>
      <c r="T189" t="str">
        <f t="shared" si="171"/>
        <v>直接</v>
      </c>
      <c r="U189" t="str">
        <f>""</f>
        <v/>
      </c>
      <c r="V189" t="str">
        <f>""</f>
        <v/>
      </c>
      <c r="W189" t="str">
        <f>""</f>
        <v/>
      </c>
      <c r="X189">
        <v>1</v>
      </c>
      <c r="Y189">
        <v>1</v>
      </c>
      <c r="Z189">
        <v>1.21</v>
      </c>
      <c r="AA189">
        <v>0.98</v>
      </c>
      <c r="AB189">
        <v>3</v>
      </c>
      <c r="AC189">
        <v>0.98</v>
      </c>
      <c r="AD189">
        <v>0.98</v>
      </c>
      <c r="AE189">
        <v>1.1000000000000001</v>
      </c>
      <c r="AF189">
        <v>0.5</v>
      </c>
      <c r="AG189" t="str">
        <f>"191"</f>
        <v>191</v>
      </c>
      <c r="AH189" t="str">
        <f>"（株）松尾製作所"</f>
        <v>（株）松尾製作所</v>
      </c>
      <c r="AI189" t="str">
        <f>"102"</f>
        <v>102</v>
      </c>
      <c r="AJ189" t="str">
        <f>"M-MG-39"</f>
        <v>M-MG-39</v>
      </c>
      <c r="AK189" t="str">
        <f>"10492"</f>
        <v>10492</v>
      </c>
      <c r="AL189" t="str">
        <f>"0614"</f>
        <v>0614</v>
      </c>
      <c r="AM189" t="str">
        <f>"ﾌﾟﾚ-ﾄ T/M ｹ-ｽ"</f>
        <v>ﾌﾟﾚ-ﾄ T/M ｹ-ｽ</v>
      </c>
      <c r="AN189" t="str">
        <f>"012"</f>
        <v>012</v>
      </c>
      <c r="AO189" t="str">
        <f>"TP-131 ﾊﾝﾖｳ"</f>
        <v>TP-131 ﾊﾝﾖｳ</v>
      </c>
      <c r="AP189">
        <v>200</v>
      </c>
      <c r="AQ189" t="str">
        <f>""</f>
        <v/>
      </c>
      <c r="AR189" t="str">
        <f>""</f>
        <v/>
      </c>
      <c r="AS189" t="str">
        <f>""</f>
        <v/>
      </c>
      <c r="AT189" t="str">
        <f t="shared" si="172"/>
        <v>00</v>
      </c>
      <c r="AU189">
        <v>0.5</v>
      </c>
      <c r="AV189" t="str">
        <f>""</f>
        <v/>
      </c>
      <c r="AW189" t="str">
        <f>"08"</f>
        <v>08</v>
      </c>
      <c r="AX189" t="str">
        <f>"専用"</f>
        <v>専用</v>
      </c>
      <c r="AY189" t="str">
        <f>"01"</f>
        <v>01</v>
      </c>
      <c r="AZ189" t="str">
        <f>"後補充"</f>
        <v>後補充</v>
      </c>
      <c r="BA189" t="str">
        <f>""</f>
        <v/>
      </c>
      <c r="BB189" t="str">
        <f>"ＴＰ１３１フタナシ"</f>
        <v>ＴＰ１３１フタナシ</v>
      </c>
      <c r="BC189" t="str">
        <f>" 335.000"</f>
        <v xml:space="preserve"> 335.000</v>
      </c>
      <c r="BD189" t="str">
        <f>" 168.000"</f>
        <v xml:space="preserve"> 168.000</v>
      </c>
      <c r="BE189" t="str">
        <f>" 103.000"</f>
        <v xml:space="preserve"> 103.000</v>
      </c>
      <c r="BF189" t="str">
        <f>"   0.006"</f>
        <v xml:space="preserve">   0.006</v>
      </c>
      <c r="BG189" t="str">
        <f>"   1.530"</f>
        <v xml:space="preserve">   1.530</v>
      </c>
      <c r="BH189" t="str">
        <f t="shared" si="221"/>
        <v>しない</v>
      </c>
      <c r="BI189" t="str">
        <f>""</f>
        <v/>
      </c>
      <c r="BJ189" t="str">
        <f t="shared" si="198"/>
        <v>MASTER01</v>
      </c>
      <c r="BK189" t="str">
        <f>"2022/04/19"</f>
        <v>2022/04/19</v>
      </c>
      <c r="BL189" t="str">
        <f t="shared" si="175"/>
        <v>NE00</v>
      </c>
      <c r="BM189" t="str">
        <f t="shared" si="176"/>
        <v>１工工務Ｇ</v>
      </c>
      <c r="BN189" t="str">
        <f t="shared" si="233"/>
        <v>46548</v>
      </c>
      <c r="BO189" t="str">
        <f t="shared" si="234"/>
        <v>長畑　玲奈</v>
      </c>
    </row>
    <row r="190" spans="1:67">
      <c r="A190" t="s">
        <v>273</v>
      </c>
      <c r="B190" t="str">
        <f>""</f>
        <v/>
      </c>
      <c r="C190" t="str">
        <f>""</f>
        <v/>
      </c>
      <c r="D190" t="s">
        <v>84</v>
      </c>
      <c r="E190" t="str">
        <f t="shared" si="162"/>
        <v>1Y</v>
      </c>
      <c r="F190" t="str">
        <f t="shared" si="163"/>
        <v>第１工場</v>
      </c>
      <c r="G190" t="str">
        <f t="shared" si="164"/>
        <v>手配</v>
      </c>
      <c r="H190" t="str">
        <f t="shared" si="165"/>
        <v>Ｐ</v>
      </c>
      <c r="I190" t="str">
        <f>"6095"</f>
        <v>6095</v>
      </c>
      <c r="J190" t="str">
        <f>"ミズショー（株）"</f>
        <v>ミズショー（株）</v>
      </c>
      <c r="K190" t="str">
        <f t="shared" si="245"/>
        <v>01</v>
      </c>
      <c r="L190" t="str">
        <f>"三河支店"</f>
        <v>三河支店</v>
      </c>
      <c r="M190" t="str">
        <f t="shared" si="222"/>
        <v>――</v>
      </c>
      <c r="N190" t="str">
        <f t="shared" si="215"/>
        <v>――</v>
      </c>
      <c r="O190" t="str">
        <f t="shared" si="166"/>
        <v>Ｍ</v>
      </c>
      <c r="P190" t="str">
        <f t="shared" si="167"/>
        <v>01</v>
      </c>
      <c r="Q190" t="str">
        <f t="shared" si="168"/>
        <v>第１</v>
      </c>
      <c r="R190" t="str">
        <f t="shared" si="169"/>
        <v>1Y</v>
      </c>
      <c r="S190" t="str">
        <f t="shared" si="170"/>
        <v>安城第１工場</v>
      </c>
      <c r="T190" t="str">
        <f t="shared" si="171"/>
        <v>直接</v>
      </c>
      <c r="U190" t="str">
        <f>""</f>
        <v/>
      </c>
      <c r="V190" t="str">
        <f>""</f>
        <v/>
      </c>
      <c r="W190" t="str">
        <f>""</f>
        <v/>
      </c>
      <c r="X190">
        <v>1</v>
      </c>
      <c r="Y190">
        <v>1</v>
      </c>
      <c r="Z190">
        <v>1.88</v>
      </c>
      <c r="AA190">
        <v>1.05</v>
      </c>
      <c r="AB190">
        <v>3</v>
      </c>
      <c r="AC190">
        <v>1.05</v>
      </c>
      <c r="AD190">
        <v>1.05</v>
      </c>
      <c r="AE190">
        <v>1.1000000000000001</v>
      </c>
      <c r="AF190">
        <v>0.5</v>
      </c>
      <c r="AG190" t="str">
        <f>"173"</f>
        <v>173</v>
      </c>
      <c r="AH190" t="str">
        <f>"ミズショー（株）"</f>
        <v>ミズショー（株）</v>
      </c>
      <c r="AI190" t="str">
        <f>"001"</f>
        <v>001</v>
      </c>
      <c r="AJ190" t="str">
        <f>"M-MG-27"</f>
        <v>M-MG-27</v>
      </c>
      <c r="AK190" t="str">
        <f>"20441"</f>
        <v>20441</v>
      </c>
      <c r="AL190" t="str">
        <f>"0120"</f>
        <v>0120</v>
      </c>
      <c r="AM190" t="str">
        <f>"ﾏｸﾞﾈﾂﾄ"</f>
        <v>ﾏｸﾞﾈﾂﾄ</v>
      </c>
      <c r="AN190" t="str">
        <f>"014"</f>
        <v>014</v>
      </c>
      <c r="AO190" t="str">
        <f>"TP-331 ﾊﾝﾖｳ"</f>
        <v>TP-331 ﾊﾝﾖｳ</v>
      </c>
      <c r="AP190">
        <v>2000</v>
      </c>
      <c r="AQ190" t="str">
        <f>""</f>
        <v/>
      </c>
      <c r="AR190" t="str">
        <f>""</f>
        <v/>
      </c>
      <c r="AS190" t="str">
        <f>""</f>
        <v/>
      </c>
      <c r="AT190" t="str">
        <f t="shared" si="172"/>
        <v>00</v>
      </c>
      <c r="AU190">
        <v>0.5</v>
      </c>
      <c r="AV190" t="str">
        <f>""</f>
        <v/>
      </c>
      <c r="AW190" t="str">
        <f>"08"</f>
        <v>08</v>
      </c>
      <c r="AX190" t="str">
        <f>"専用"</f>
        <v>専用</v>
      </c>
      <c r="AY190" t="str">
        <f>"01"</f>
        <v>01</v>
      </c>
      <c r="AZ190" t="str">
        <f>"後補充"</f>
        <v>後補充</v>
      </c>
      <c r="BA190" t="str">
        <f>""</f>
        <v/>
      </c>
      <c r="BB190" t="str">
        <f>"サンボックスＣ－３フタナシ"</f>
        <v>サンボックスＣ－３フタナシ</v>
      </c>
      <c r="BC190" t="str">
        <f>" 330.000"</f>
        <v xml:space="preserve"> 330.000</v>
      </c>
      <c r="BD190" t="str">
        <f>" 330.000"</f>
        <v xml:space="preserve"> 330.000</v>
      </c>
      <c r="BE190" t="str">
        <f>" 100.000"</f>
        <v xml:space="preserve"> 100.000</v>
      </c>
      <c r="BF190" t="str">
        <f>"   0.011"</f>
        <v xml:space="preserve">   0.011</v>
      </c>
      <c r="BG190" t="str">
        <f>"   8.717"</f>
        <v xml:space="preserve">   8.717</v>
      </c>
      <c r="BH190" t="str">
        <f t="shared" si="221"/>
        <v>しない</v>
      </c>
      <c r="BI190" t="str">
        <f>""</f>
        <v/>
      </c>
      <c r="BJ190" t="str">
        <f t="shared" si="198"/>
        <v>MASTER01</v>
      </c>
      <c r="BK190" t="str">
        <f>"2022/04/19"</f>
        <v>2022/04/19</v>
      </c>
      <c r="BL190" t="str">
        <f t="shared" si="175"/>
        <v>NE00</v>
      </c>
      <c r="BM190" t="str">
        <f t="shared" si="176"/>
        <v>１工工務Ｇ</v>
      </c>
      <c r="BN190" t="str">
        <f t="shared" si="233"/>
        <v>46548</v>
      </c>
      <c r="BO190" t="str">
        <f t="shared" si="234"/>
        <v>長畑　玲奈</v>
      </c>
    </row>
    <row r="191" spans="1:67">
      <c r="A191">
        <v>9025006027</v>
      </c>
      <c r="B191" t="str">
        <f>""</f>
        <v/>
      </c>
      <c r="C191" t="str">
        <f>""</f>
        <v/>
      </c>
      <c r="D191" t="s">
        <v>33</v>
      </c>
      <c r="E191" t="str">
        <f t="shared" si="162"/>
        <v>1Y</v>
      </c>
      <c r="F191" t="str">
        <f t="shared" si="163"/>
        <v>第１工場</v>
      </c>
      <c r="G191" t="str">
        <f t="shared" si="164"/>
        <v>手配</v>
      </c>
      <c r="H191" t="str">
        <f t="shared" si="165"/>
        <v>Ｐ</v>
      </c>
      <c r="I191" t="str">
        <f>"6103"</f>
        <v>6103</v>
      </c>
      <c r="J191" t="str">
        <f>"（株）水野鉄工所"</f>
        <v>（株）水野鉄工所</v>
      </c>
      <c r="K191" t="str">
        <f t="shared" si="245"/>
        <v>01</v>
      </c>
      <c r="L191" t="str">
        <f>""</f>
        <v/>
      </c>
      <c r="M191" t="str">
        <f t="shared" si="222"/>
        <v>――</v>
      </c>
      <c r="N191" t="str">
        <f t="shared" si="215"/>
        <v>――</v>
      </c>
      <c r="O191" t="str">
        <f t="shared" si="166"/>
        <v>Ｍ</v>
      </c>
      <c r="P191" t="str">
        <f t="shared" si="167"/>
        <v>01</v>
      </c>
      <c r="Q191" t="str">
        <f t="shared" si="168"/>
        <v>第１</v>
      </c>
      <c r="R191" t="str">
        <f t="shared" si="169"/>
        <v>1Y</v>
      </c>
      <c r="S191" t="str">
        <f t="shared" si="170"/>
        <v>安城第１工場</v>
      </c>
      <c r="T191" t="str">
        <f t="shared" si="171"/>
        <v>直接</v>
      </c>
      <c r="U191" t="str">
        <f>""</f>
        <v/>
      </c>
      <c r="V191" t="str">
        <f>""</f>
        <v/>
      </c>
      <c r="W191" t="str">
        <f>""</f>
        <v/>
      </c>
      <c r="X191">
        <v>1</v>
      </c>
      <c r="Y191">
        <v>1</v>
      </c>
      <c r="Z191">
        <v>1.81</v>
      </c>
      <c r="AA191">
        <v>1.04</v>
      </c>
      <c r="AB191">
        <v>3</v>
      </c>
      <c r="AC191">
        <v>1.04</v>
      </c>
      <c r="AD191">
        <v>1.04</v>
      </c>
      <c r="AE191">
        <v>1.1000000000000001</v>
      </c>
      <c r="AF191">
        <v>0.5</v>
      </c>
      <c r="AG191" t="str">
        <f>"284"</f>
        <v>284</v>
      </c>
      <c r="AH191" t="str">
        <f>"水野鉄工（株）"</f>
        <v>水野鉄工（株）</v>
      </c>
      <c r="AI191" t="str">
        <f>"001"</f>
        <v>001</v>
      </c>
      <c r="AJ191" t="str">
        <f>"M-C-2-1"</f>
        <v>M-C-2-1</v>
      </c>
      <c r="AK191" t="str">
        <f>"10360"</f>
        <v>10360</v>
      </c>
      <c r="AL191" t="str">
        <f>"0434"</f>
        <v>0434</v>
      </c>
      <c r="AM191" t="str">
        <f>"ﾋﾟﾝｽﾄﾚ-ﾄ"</f>
        <v>ﾋﾟﾝｽﾄﾚ-ﾄ</v>
      </c>
      <c r="AN191" t="str">
        <f>"012"</f>
        <v>012</v>
      </c>
      <c r="AO191" t="str">
        <f>"TP-131 ﾊﾝﾖｳ"</f>
        <v>TP-131 ﾊﾝﾖｳ</v>
      </c>
      <c r="AP191">
        <v>2000</v>
      </c>
      <c r="AQ191" t="str">
        <f>""</f>
        <v/>
      </c>
      <c r="AR191" t="str">
        <f>""</f>
        <v/>
      </c>
      <c r="AS191" t="str">
        <f>""</f>
        <v/>
      </c>
      <c r="AT191" t="str">
        <f t="shared" si="172"/>
        <v>00</v>
      </c>
      <c r="AU191">
        <v>0.5</v>
      </c>
      <c r="AV191" t="str">
        <f>""</f>
        <v/>
      </c>
      <c r="AW191" t="str">
        <f>"08"</f>
        <v>08</v>
      </c>
      <c r="AX191" t="str">
        <f>"専用"</f>
        <v>専用</v>
      </c>
      <c r="AY191" t="str">
        <f>"01"</f>
        <v>01</v>
      </c>
      <c r="AZ191" t="str">
        <f>"後補充"</f>
        <v>後補充</v>
      </c>
      <c r="BA191" t="str">
        <f>""</f>
        <v/>
      </c>
      <c r="BB191" t="str">
        <f>"ＴＰ１３１フタナシ"</f>
        <v>ＴＰ１３１フタナシ</v>
      </c>
      <c r="BC191" t="str">
        <f>" 335.000"</f>
        <v xml:space="preserve"> 335.000</v>
      </c>
      <c r="BD191" t="str">
        <f>" 168.000"</f>
        <v xml:space="preserve"> 168.000</v>
      </c>
      <c r="BE191" t="str">
        <f>" 103.000"</f>
        <v xml:space="preserve"> 103.000</v>
      </c>
      <c r="BF191" t="str">
        <f>"   0.006"</f>
        <v xml:space="preserve">   0.006</v>
      </c>
      <c r="BG191" t="str">
        <f>"   4.345"</f>
        <v xml:space="preserve">   4.345</v>
      </c>
      <c r="BH191" t="str">
        <f t="shared" si="221"/>
        <v>しない</v>
      </c>
      <c r="BI191" t="str">
        <f>""</f>
        <v/>
      </c>
      <c r="BJ191" t="str">
        <f t="shared" si="198"/>
        <v>MASTER01</v>
      </c>
      <c r="BK191" t="str">
        <f>"2022/04/19"</f>
        <v>2022/04/19</v>
      </c>
      <c r="BL191" t="str">
        <f t="shared" si="175"/>
        <v>NE00</v>
      </c>
      <c r="BM191" t="str">
        <f t="shared" si="176"/>
        <v>１工工務Ｇ</v>
      </c>
      <c r="BN191" t="str">
        <f t="shared" si="233"/>
        <v>46548</v>
      </c>
      <c r="BO191" t="str">
        <f t="shared" si="234"/>
        <v>長畑　玲奈</v>
      </c>
    </row>
    <row r="192" spans="1:67">
      <c r="A192" t="s">
        <v>274</v>
      </c>
      <c r="B192" t="str">
        <f>""</f>
        <v/>
      </c>
      <c r="C192" t="str">
        <f>""</f>
        <v/>
      </c>
      <c r="D192" t="s">
        <v>32</v>
      </c>
      <c r="E192" t="str">
        <f t="shared" si="162"/>
        <v>1Y</v>
      </c>
      <c r="F192" t="str">
        <f t="shared" si="163"/>
        <v>第１工場</v>
      </c>
      <c r="G192" t="str">
        <f t="shared" si="164"/>
        <v>手配</v>
      </c>
      <c r="H192" t="str">
        <f t="shared" si="165"/>
        <v>Ｐ</v>
      </c>
      <c r="I192" t="str">
        <f>"6355"</f>
        <v>6355</v>
      </c>
      <c r="J192" t="str">
        <f>"武蔵精密工業（株）"</f>
        <v>武蔵精密工業（株）</v>
      </c>
      <c r="K192" t="str">
        <f t="shared" si="245"/>
        <v>01</v>
      </c>
      <c r="L192" t="str">
        <f>"本社工場"</f>
        <v>本社工場</v>
      </c>
      <c r="M192" t="str">
        <f t="shared" si="222"/>
        <v>――</v>
      </c>
      <c r="N192" t="str">
        <f t="shared" si="215"/>
        <v>――</v>
      </c>
      <c r="O192" t="str">
        <f t="shared" si="166"/>
        <v>Ｍ</v>
      </c>
      <c r="P192" t="str">
        <f t="shared" si="167"/>
        <v>01</v>
      </c>
      <c r="Q192" t="str">
        <f t="shared" si="168"/>
        <v>第１</v>
      </c>
      <c r="R192" t="str">
        <f t="shared" si="169"/>
        <v>1Y</v>
      </c>
      <c r="S192" t="str">
        <f t="shared" si="170"/>
        <v>安城第１工場</v>
      </c>
      <c r="T192" t="str">
        <f t="shared" si="171"/>
        <v>直接</v>
      </c>
      <c r="U192" t="str">
        <f>""</f>
        <v/>
      </c>
      <c r="V192" t="str">
        <f>""</f>
        <v/>
      </c>
      <c r="W192" t="str">
        <f>""</f>
        <v/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0.5</v>
      </c>
      <c r="AG192" t="str">
        <f>"298"</f>
        <v>298</v>
      </c>
      <c r="AH192" t="str">
        <f>"武蔵精密工業（株）"</f>
        <v>武蔵精密工業（株）</v>
      </c>
      <c r="AI192" t="str">
        <f>"001"</f>
        <v>001</v>
      </c>
      <c r="AJ192" t="str">
        <f>"KARI"</f>
        <v>KARI</v>
      </c>
      <c r="AK192" t="str">
        <f>""</f>
        <v/>
      </c>
      <c r="AL192" t="str">
        <f>"1021"</f>
        <v>1021</v>
      </c>
      <c r="AM192" t="str">
        <f>"ｷﾞｱASSY"</f>
        <v>ｷﾞｱASSY</v>
      </c>
      <c r="AN192" t="str">
        <f>"142"</f>
        <v>142</v>
      </c>
      <c r="AO192" t="str">
        <f>"ｻﾝﾎﾞｯｸｽ#24-A"</f>
        <v>ｻﾝﾎﾞｯｸｽ#24-A</v>
      </c>
      <c r="AP192">
        <v>2</v>
      </c>
      <c r="AQ192" t="str">
        <f>""</f>
        <v/>
      </c>
      <c r="AR192" t="str">
        <f>""</f>
        <v/>
      </c>
      <c r="AS192" t="str">
        <f>""</f>
        <v/>
      </c>
      <c r="AT192" t="str">
        <f>"01"</f>
        <v>01</v>
      </c>
      <c r="AU192">
        <v>1</v>
      </c>
      <c r="AV192" t="str">
        <f>""</f>
        <v/>
      </c>
      <c r="AW192" t="str">
        <f>""</f>
        <v/>
      </c>
      <c r="AX192" t="str">
        <f>""</f>
        <v/>
      </c>
      <c r="AY192" t="str">
        <f>""</f>
        <v/>
      </c>
      <c r="AZ192" t="str">
        <f>""</f>
        <v/>
      </c>
      <c r="BA192" t="str">
        <f>""</f>
        <v/>
      </c>
      <c r="BB192" t="str">
        <f>""</f>
        <v/>
      </c>
      <c r="BC192" t="str">
        <f>" 424.000"</f>
        <v xml:space="preserve"> 424.000</v>
      </c>
      <c r="BD192" t="str">
        <f>" 292.000"</f>
        <v xml:space="preserve"> 292.000</v>
      </c>
      <c r="BE192" t="str">
        <f>" 249.000"</f>
        <v xml:space="preserve"> 249.000</v>
      </c>
      <c r="BF192" t="str">
        <f>"   0.031"</f>
        <v xml:space="preserve">   0.031</v>
      </c>
      <c r="BG192" t="str">
        <f>"  14.200"</f>
        <v xml:space="preserve">  14.200</v>
      </c>
      <c r="BH192" t="str">
        <f t="shared" si="221"/>
        <v>しない</v>
      </c>
      <c r="BI192" t="str">
        <f>""</f>
        <v/>
      </c>
      <c r="BJ192" t="str">
        <f t="shared" si="198"/>
        <v>MASTER01</v>
      </c>
      <c r="BK192" t="str">
        <f>"2023/01/17"</f>
        <v>2023/01/17</v>
      </c>
      <c r="BL192" t="str">
        <f t="shared" si="175"/>
        <v>NE00</v>
      </c>
      <c r="BM192" t="str">
        <f t="shared" si="176"/>
        <v>１工工務Ｇ</v>
      </c>
      <c r="BN192" t="str">
        <f t="shared" si="233"/>
        <v>46548</v>
      </c>
      <c r="BO192" t="str">
        <f t="shared" si="234"/>
        <v>長畑　玲奈</v>
      </c>
    </row>
    <row r="193" spans="1:67">
      <c r="A193" t="s">
        <v>275</v>
      </c>
      <c r="B193" t="str">
        <f>""</f>
        <v/>
      </c>
      <c r="C193" t="str">
        <f>""</f>
        <v/>
      </c>
      <c r="D193" t="s">
        <v>85</v>
      </c>
      <c r="E193" t="str">
        <f t="shared" si="162"/>
        <v>1Y</v>
      </c>
      <c r="F193" t="str">
        <f t="shared" si="163"/>
        <v>第１工場</v>
      </c>
      <c r="G193" t="str">
        <f t="shared" si="164"/>
        <v>手配</v>
      </c>
      <c r="H193" t="str">
        <f t="shared" si="165"/>
        <v>Ｐ</v>
      </c>
      <c r="I193" t="str">
        <f t="shared" ref="I193:I256" si="246">"6454"</f>
        <v>6454</v>
      </c>
      <c r="J193" t="str">
        <f t="shared" ref="J193:J256" si="247">"（株）ムロコーポレーション"</f>
        <v>（株）ムロコーポレーション</v>
      </c>
      <c r="K193" t="str">
        <f t="shared" si="245"/>
        <v>01</v>
      </c>
      <c r="L193" t="str">
        <f>""</f>
        <v/>
      </c>
      <c r="M193" t="str">
        <f t="shared" si="222"/>
        <v>――</v>
      </c>
      <c r="N193" t="str">
        <f t="shared" si="215"/>
        <v>――</v>
      </c>
      <c r="O193" t="str">
        <f t="shared" si="166"/>
        <v>Ｍ</v>
      </c>
      <c r="P193" t="str">
        <f t="shared" si="167"/>
        <v>01</v>
      </c>
      <c r="Q193" t="str">
        <f t="shared" si="168"/>
        <v>第１</v>
      </c>
      <c r="R193" t="str">
        <f t="shared" si="169"/>
        <v>1Y</v>
      </c>
      <c r="S193" t="str">
        <f t="shared" si="170"/>
        <v>安城第１工場</v>
      </c>
      <c r="T193" t="str">
        <f t="shared" si="171"/>
        <v>直接</v>
      </c>
      <c r="U193" t="str">
        <f>""</f>
        <v/>
      </c>
      <c r="V193" t="str">
        <f>""</f>
        <v/>
      </c>
      <c r="W193" t="str">
        <f>""</f>
        <v/>
      </c>
      <c r="X193">
        <v>1</v>
      </c>
      <c r="Y193">
        <v>1</v>
      </c>
      <c r="Z193">
        <v>0.73</v>
      </c>
      <c r="AA193">
        <v>0.93</v>
      </c>
      <c r="AB193">
        <v>3</v>
      </c>
      <c r="AC193">
        <v>0.93</v>
      </c>
      <c r="AD193">
        <v>0.93</v>
      </c>
      <c r="AE193">
        <v>1.1000000000000001</v>
      </c>
      <c r="AF193">
        <v>0.5</v>
      </c>
      <c r="AG193" t="str">
        <f t="shared" ref="AG193:AG256" si="248">"205"</f>
        <v>205</v>
      </c>
      <c r="AH193" t="str">
        <f t="shared" ref="AH193:AH256" si="249">"（株）ムロコーポレーション"</f>
        <v>（株）ムロコーポレーション</v>
      </c>
      <c r="AI193" t="str">
        <f>"100"</f>
        <v>100</v>
      </c>
      <c r="AJ193" t="str">
        <f>"S-G-22"</f>
        <v>S-G-22</v>
      </c>
      <c r="AK193" t="str">
        <f>"10146"</f>
        <v>10146</v>
      </c>
      <c r="AL193" t="str">
        <f>"9203"</f>
        <v>9203</v>
      </c>
      <c r="AM193" t="str">
        <f>"ﾌﾟﾚｰﾄﾜｯｼｬ"</f>
        <v>ﾌﾟﾚｰﾄﾜｯｼｬ</v>
      </c>
      <c r="AN193" t="str">
        <f t="shared" ref="AN193:AN256" si="250">"012"</f>
        <v>012</v>
      </c>
      <c r="AO193" t="str">
        <f t="shared" ref="AO193:AO256" si="251">"TP-131 ﾊﾝﾖｳ"</f>
        <v>TP-131 ﾊﾝﾖｳ</v>
      </c>
      <c r="AP193">
        <v>100</v>
      </c>
      <c r="AQ193" t="str">
        <f>""</f>
        <v/>
      </c>
      <c r="AR193" t="str">
        <f>""</f>
        <v/>
      </c>
      <c r="AS193" t="str">
        <f>"1"</f>
        <v>1</v>
      </c>
      <c r="AT193" t="str">
        <f t="shared" ref="AT193:AT256" si="252">"00"</f>
        <v>00</v>
      </c>
      <c r="AU193">
        <v>0.5</v>
      </c>
      <c r="AV193" t="str">
        <f>""</f>
        <v/>
      </c>
      <c r="AW193" t="str">
        <f>"08"</f>
        <v>08</v>
      </c>
      <c r="AX193" t="str">
        <f>"専用"</f>
        <v>専用</v>
      </c>
      <c r="AY193" t="str">
        <f>"01"</f>
        <v>01</v>
      </c>
      <c r="AZ193" t="str">
        <f>"後補充"</f>
        <v>後補充</v>
      </c>
      <c r="BA193" t="str">
        <f>""</f>
        <v/>
      </c>
      <c r="BB193" t="str">
        <f t="shared" ref="BB193:BB256" si="253">"ＴＰ１３１フタナシ"</f>
        <v>ＴＰ１３１フタナシ</v>
      </c>
      <c r="BC193" t="str">
        <f t="shared" ref="BC193:BC256" si="254">" 335.000"</f>
        <v xml:space="preserve"> 335.000</v>
      </c>
      <c r="BD193" t="str">
        <f t="shared" ref="BD193:BD256" si="255">" 168.000"</f>
        <v xml:space="preserve"> 168.000</v>
      </c>
      <c r="BE193" t="str">
        <f t="shared" ref="BE193:BE256" si="256">" 103.000"</f>
        <v xml:space="preserve"> 103.000</v>
      </c>
      <c r="BF193" t="str">
        <f t="shared" ref="BF193:BF256" si="257">"   0.006"</f>
        <v xml:space="preserve">   0.006</v>
      </c>
      <c r="BG193" t="str">
        <f>"   6.900"</f>
        <v xml:space="preserve">   6.900</v>
      </c>
      <c r="BH193" t="str">
        <f t="shared" si="221"/>
        <v>しない</v>
      </c>
      <c r="BI193" t="str">
        <f>""</f>
        <v/>
      </c>
      <c r="BJ193" t="str">
        <f t="shared" si="198"/>
        <v>MASTER01</v>
      </c>
      <c r="BK193" t="str">
        <f>"2022/04/19"</f>
        <v>2022/04/19</v>
      </c>
      <c r="BL193" t="str">
        <f t="shared" si="175"/>
        <v>NE00</v>
      </c>
      <c r="BM193" t="str">
        <f t="shared" si="176"/>
        <v>１工工務Ｇ</v>
      </c>
      <c r="BN193" t="str">
        <f t="shared" si="233"/>
        <v>46548</v>
      </c>
      <c r="BO193" t="str">
        <f t="shared" si="234"/>
        <v>長畑　玲奈</v>
      </c>
    </row>
    <row r="194" spans="1:67">
      <c r="A194" t="s">
        <v>276</v>
      </c>
      <c r="B194" t="str">
        <f>""</f>
        <v/>
      </c>
      <c r="C194" t="str">
        <f>""</f>
        <v/>
      </c>
      <c r="D194" t="s">
        <v>85</v>
      </c>
      <c r="E194" t="str">
        <f t="shared" ref="E194:E257" si="258">"1Y"</f>
        <v>1Y</v>
      </c>
      <c r="F194" t="str">
        <f t="shared" ref="F194:F257" si="259">"第１工場"</f>
        <v>第１工場</v>
      </c>
      <c r="G194" t="str">
        <f t="shared" ref="G194:G257" si="260">"手配"</f>
        <v>手配</v>
      </c>
      <c r="H194" t="str">
        <f t="shared" ref="H194:H257" si="261">"Ｐ"</f>
        <v>Ｐ</v>
      </c>
      <c r="I194" t="str">
        <f t="shared" si="246"/>
        <v>6454</v>
      </c>
      <c r="J194" t="str">
        <f t="shared" si="247"/>
        <v>（株）ムロコーポレーション</v>
      </c>
      <c r="K194" t="str">
        <f t="shared" si="245"/>
        <v>01</v>
      </c>
      <c r="L194" t="str">
        <f>""</f>
        <v/>
      </c>
      <c r="M194" t="str">
        <f t="shared" si="222"/>
        <v>――</v>
      </c>
      <c r="N194" t="str">
        <f t="shared" si="215"/>
        <v>――</v>
      </c>
      <c r="O194" t="str">
        <f t="shared" ref="O194:O257" si="262">"Ｍ"</f>
        <v>Ｍ</v>
      </c>
      <c r="P194" t="str">
        <f t="shared" ref="P194:P257" si="263">"01"</f>
        <v>01</v>
      </c>
      <c r="Q194" t="str">
        <f t="shared" ref="Q194:Q257" si="264">"第１"</f>
        <v>第１</v>
      </c>
      <c r="R194" t="str">
        <f t="shared" ref="R194:R257" si="265">"1Y"</f>
        <v>1Y</v>
      </c>
      <c r="S194" t="str">
        <f t="shared" ref="S194:S257" si="266">"安城第１工場"</f>
        <v>安城第１工場</v>
      </c>
      <c r="T194" t="str">
        <f t="shared" ref="T194:T257" si="267">"直接"</f>
        <v>直接</v>
      </c>
      <c r="U194" t="str">
        <f>""</f>
        <v/>
      </c>
      <c r="V194" t="str">
        <f>""</f>
        <v/>
      </c>
      <c r="W194" t="str">
        <f>""</f>
        <v/>
      </c>
      <c r="X194">
        <v>1</v>
      </c>
      <c r="Y194">
        <v>1</v>
      </c>
      <c r="Z194">
        <v>0.73</v>
      </c>
      <c r="AA194">
        <v>0.93</v>
      </c>
      <c r="AB194">
        <v>3</v>
      </c>
      <c r="AC194">
        <v>0.93</v>
      </c>
      <c r="AD194">
        <v>0.93</v>
      </c>
      <c r="AE194">
        <v>1.1000000000000001</v>
      </c>
      <c r="AF194">
        <v>0.5</v>
      </c>
      <c r="AG194" t="str">
        <f t="shared" si="248"/>
        <v>205</v>
      </c>
      <c r="AH194" t="str">
        <f t="shared" si="249"/>
        <v>（株）ムロコーポレーション</v>
      </c>
      <c r="AI194" t="str">
        <f>"101"</f>
        <v>101</v>
      </c>
      <c r="AJ194" t="str">
        <f>"M-1"</f>
        <v>M-1</v>
      </c>
      <c r="AK194" t="str">
        <f>"10145"</f>
        <v>10145</v>
      </c>
      <c r="AL194" t="str">
        <f>"9203"</f>
        <v>9203</v>
      </c>
      <c r="AM194" t="str">
        <f>"ﾌﾟﾚｰﾄﾜｯｼｬ"</f>
        <v>ﾌﾟﾚｰﾄﾜｯｼｬ</v>
      </c>
      <c r="AN194" t="str">
        <f t="shared" si="250"/>
        <v>012</v>
      </c>
      <c r="AO194" t="str">
        <f t="shared" si="251"/>
        <v>TP-131 ﾊﾝﾖｳ</v>
      </c>
      <c r="AP194">
        <v>100</v>
      </c>
      <c r="AQ194" t="str">
        <f>""</f>
        <v/>
      </c>
      <c r="AR194" t="str">
        <f>""</f>
        <v/>
      </c>
      <c r="AS194" t="str">
        <f>"1"</f>
        <v>1</v>
      </c>
      <c r="AT194" t="str">
        <f t="shared" si="252"/>
        <v>00</v>
      </c>
      <c r="AU194">
        <v>0.5</v>
      </c>
      <c r="AV194" t="str">
        <f>""</f>
        <v/>
      </c>
      <c r="AW194" t="str">
        <f>"08"</f>
        <v>08</v>
      </c>
      <c r="AX194" t="str">
        <f>"専用"</f>
        <v>専用</v>
      </c>
      <c r="AY194" t="str">
        <f>"01"</f>
        <v>01</v>
      </c>
      <c r="AZ194" t="str">
        <f>"後補充"</f>
        <v>後補充</v>
      </c>
      <c r="BA194" t="str">
        <f>""</f>
        <v/>
      </c>
      <c r="BB194" t="str">
        <f t="shared" si="253"/>
        <v>ＴＰ１３１フタナシ</v>
      </c>
      <c r="BC194" t="str">
        <f t="shared" si="254"/>
        <v xml:space="preserve"> 335.000</v>
      </c>
      <c r="BD194" t="str">
        <f t="shared" si="255"/>
        <v xml:space="preserve"> 168.000</v>
      </c>
      <c r="BE194" t="str">
        <f t="shared" si="256"/>
        <v xml:space="preserve"> 103.000</v>
      </c>
      <c r="BF194" t="str">
        <f t="shared" si="257"/>
        <v xml:space="preserve">   0.006</v>
      </c>
      <c r="BG194" t="str">
        <f>"  13.860"</f>
        <v xml:space="preserve">  13.860</v>
      </c>
      <c r="BH194" t="str">
        <f t="shared" si="221"/>
        <v>しない</v>
      </c>
      <c r="BI194" t="str">
        <f>""</f>
        <v/>
      </c>
      <c r="BJ194" t="str">
        <f t="shared" si="198"/>
        <v>MASTER01</v>
      </c>
      <c r="BK194" t="str">
        <f>"2022/04/19"</f>
        <v>2022/04/19</v>
      </c>
      <c r="BL194" t="str">
        <f t="shared" ref="BL194:BL257" si="268">"NE00"</f>
        <v>NE00</v>
      </c>
      <c r="BM194" t="str">
        <f t="shared" ref="BM194:BM257" si="269">"１工工務Ｇ"</f>
        <v>１工工務Ｇ</v>
      </c>
      <c r="BN194" t="str">
        <f t="shared" si="233"/>
        <v>46548</v>
      </c>
      <c r="BO194" t="str">
        <f t="shared" si="234"/>
        <v>長畑　玲奈</v>
      </c>
    </row>
    <row r="195" spans="1:67">
      <c r="A195" t="s">
        <v>277</v>
      </c>
      <c r="B195" t="str">
        <f>""</f>
        <v/>
      </c>
      <c r="C195" t="str">
        <f>""</f>
        <v/>
      </c>
      <c r="D195" t="s">
        <v>85</v>
      </c>
      <c r="E195" t="str">
        <f t="shared" si="258"/>
        <v>1Y</v>
      </c>
      <c r="F195" t="str">
        <f t="shared" si="259"/>
        <v>第１工場</v>
      </c>
      <c r="G195" t="str">
        <f t="shared" si="260"/>
        <v>手配</v>
      </c>
      <c r="H195" t="str">
        <f t="shared" si="261"/>
        <v>Ｐ</v>
      </c>
      <c r="I195" t="str">
        <f t="shared" si="246"/>
        <v>6454</v>
      </c>
      <c r="J195" t="str">
        <f t="shared" si="247"/>
        <v>（株）ムロコーポレーション</v>
      </c>
      <c r="K195" t="str">
        <f t="shared" si="245"/>
        <v>01</v>
      </c>
      <c r="L195" t="str">
        <f>""</f>
        <v/>
      </c>
      <c r="M195" t="str">
        <f t="shared" si="222"/>
        <v>――</v>
      </c>
      <c r="N195" t="str">
        <f t="shared" si="215"/>
        <v>――</v>
      </c>
      <c r="O195" t="str">
        <f t="shared" si="262"/>
        <v>Ｍ</v>
      </c>
      <c r="P195" t="str">
        <f t="shared" si="263"/>
        <v>01</v>
      </c>
      <c r="Q195" t="str">
        <f t="shared" si="264"/>
        <v>第１</v>
      </c>
      <c r="R195" t="str">
        <f t="shared" si="265"/>
        <v>1Y</v>
      </c>
      <c r="S195" t="str">
        <f t="shared" si="266"/>
        <v>安城第１工場</v>
      </c>
      <c r="T195" t="str">
        <f t="shared" si="267"/>
        <v>直接</v>
      </c>
      <c r="U195" t="str">
        <f>""</f>
        <v/>
      </c>
      <c r="V195" t="str">
        <f>""</f>
        <v/>
      </c>
      <c r="W195" t="str">
        <f>""</f>
        <v/>
      </c>
      <c r="X195">
        <v>1</v>
      </c>
      <c r="Y195">
        <v>1</v>
      </c>
      <c r="Z195">
        <v>0.73</v>
      </c>
      <c r="AA195">
        <v>0.93</v>
      </c>
      <c r="AB195">
        <v>3</v>
      </c>
      <c r="AC195">
        <v>0.93</v>
      </c>
      <c r="AD195">
        <v>0.93</v>
      </c>
      <c r="AE195">
        <v>1.1000000000000001</v>
      </c>
      <c r="AF195">
        <v>0.5</v>
      </c>
      <c r="AG195" t="str">
        <f t="shared" si="248"/>
        <v>205</v>
      </c>
      <c r="AH195" t="str">
        <f t="shared" si="249"/>
        <v>（株）ムロコーポレーション</v>
      </c>
      <c r="AI195" t="str">
        <f>"207"</f>
        <v>207</v>
      </c>
      <c r="AJ195" t="str">
        <f>"S-G-23"</f>
        <v>S-G-23</v>
      </c>
      <c r="AK195" t="str">
        <f>"10252"</f>
        <v>10252</v>
      </c>
      <c r="AL195" t="str">
        <f>"9203"</f>
        <v>9203</v>
      </c>
      <c r="AM195" t="str">
        <f>"ﾌﾟﾚｰﾄﾜｯｼｬ"</f>
        <v>ﾌﾟﾚｰﾄﾜｯｼｬ</v>
      </c>
      <c r="AN195" t="str">
        <f t="shared" si="250"/>
        <v>012</v>
      </c>
      <c r="AO195" t="str">
        <f t="shared" si="251"/>
        <v>TP-131 ﾊﾝﾖｳ</v>
      </c>
      <c r="AP195">
        <v>100</v>
      </c>
      <c r="AQ195" t="str">
        <f>""</f>
        <v/>
      </c>
      <c r="AR195" t="str">
        <f>""</f>
        <v/>
      </c>
      <c r="AS195" t="str">
        <f>"1"</f>
        <v>1</v>
      </c>
      <c r="AT195" t="str">
        <f t="shared" si="252"/>
        <v>00</v>
      </c>
      <c r="AU195">
        <v>0.5</v>
      </c>
      <c r="AV195" t="str">
        <f>""</f>
        <v/>
      </c>
      <c r="AW195" t="str">
        <f>"08"</f>
        <v>08</v>
      </c>
      <c r="AX195" t="str">
        <f>"専用"</f>
        <v>専用</v>
      </c>
      <c r="AY195" t="str">
        <f>"01"</f>
        <v>01</v>
      </c>
      <c r="AZ195" t="str">
        <f>"後補充"</f>
        <v>後補充</v>
      </c>
      <c r="BA195" t="str">
        <f>""</f>
        <v/>
      </c>
      <c r="BB195" t="str">
        <f t="shared" si="253"/>
        <v>ＴＰ１３１フタナシ</v>
      </c>
      <c r="BC195" t="str">
        <f t="shared" si="254"/>
        <v xml:space="preserve"> 335.000</v>
      </c>
      <c r="BD195" t="str">
        <f t="shared" si="255"/>
        <v xml:space="preserve"> 168.000</v>
      </c>
      <c r="BE195" t="str">
        <f t="shared" si="256"/>
        <v xml:space="preserve"> 103.000</v>
      </c>
      <c r="BF195" t="str">
        <f t="shared" si="257"/>
        <v xml:space="preserve">   0.006</v>
      </c>
      <c r="BG195" t="str">
        <f>"  10.470"</f>
        <v xml:space="preserve">  10.470</v>
      </c>
      <c r="BH195" t="str">
        <f t="shared" si="221"/>
        <v>しない</v>
      </c>
      <c r="BI195" t="str">
        <f>""</f>
        <v/>
      </c>
      <c r="BJ195" t="str">
        <f t="shared" si="198"/>
        <v>MASTER01</v>
      </c>
      <c r="BK195" t="str">
        <f>"2022/04/19"</f>
        <v>2022/04/19</v>
      </c>
      <c r="BL195" t="str">
        <f t="shared" si="268"/>
        <v>NE00</v>
      </c>
      <c r="BM195" t="str">
        <f t="shared" si="269"/>
        <v>１工工務Ｇ</v>
      </c>
      <c r="BN195" t="str">
        <f t="shared" si="233"/>
        <v>46548</v>
      </c>
      <c r="BO195" t="str">
        <f t="shared" si="234"/>
        <v>長畑　玲奈</v>
      </c>
    </row>
    <row r="196" spans="1:67">
      <c r="A196" t="s">
        <v>278</v>
      </c>
      <c r="B196" t="str">
        <f>""</f>
        <v/>
      </c>
      <c r="C196" t="str">
        <f>""</f>
        <v/>
      </c>
      <c r="D196" t="str">
        <f t="shared" ref="D196:D259" si="270">"SHIM"</f>
        <v>SHIM</v>
      </c>
      <c r="E196" t="str">
        <f t="shared" si="258"/>
        <v>1Y</v>
      </c>
      <c r="F196" t="str">
        <f t="shared" si="259"/>
        <v>第１工場</v>
      </c>
      <c r="G196" t="str">
        <f t="shared" si="260"/>
        <v>手配</v>
      </c>
      <c r="H196" t="str">
        <f t="shared" si="261"/>
        <v>Ｐ</v>
      </c>
      <c r="I196" t="str">
        <f t="shared" si="246"/>
        <v>6454</v>
      </c>
      <c r="J196" t="str">
        <f t="shared" si="247"/>
        <v>（株）ムロコーポレーション</v>
      </c>
      <c r="K196" t="str">
        <f t="shared" si="245"/>
        <v>01</v>
      </c>
      <c r="L196" t="str">
        <f>""</f>
        <v/>
      </c>
      <c r="M196" t="str">
        <f t="shared" si="222"/>
        <v>――</v>
      </c>
      <c r="N196" t="str">
        <f t="shared" si="215"/>
        <v>――</v>
      </c>
      <c r="O196" t="str">
        <f t="shared" si="262"/>
        <v>Ｍ</v>
      </c>
      <c r="P196" t="str">
        <f t="shared" si="263"/>
        <v>01</v>
      </c>
      <c r="Q196" t="str">
        <f t="shared" si="264"/>
        <v>第１</v>
      </c>
      <c r="R196" t="str">
        <f t="shared" si="265"/>
        <v>1Y</v>
      </c>
      <c r="S196" t="str">
        <f t="shared" si="266"/>
        <v>安城第１工場</v>
      </c>
      <c r="T196" t="str">
        <f t="shared" si="267"/>
        <v>直接</v>
      </c>
      <c r="U196" t="str">
        <f>""</f>
        <v/>
      </c>
      <c r="V196" t="str">
        <f>""</f>
        <v/>
      </c>
      <c r="W196" t="str">
        <f>""</f>
        <v/>
      </c>
      <c r="X196">
        <v>1</v>
      </c>
      <c r="Y196">
        <v>1</v>
      </c>
      <c r="Z196">
        <v>0.73</v>
      </c>
      <c r="AA196">
        <v>0.93</v>
      </c>
      <c r="AB196">
        <v>3</v>
      </c>
      <c r="AC196">
        <v>0.93</v>
      </c>
      <c r="AD196">
        <v>0.93</v>
      </c>
      <c r="AE196">
        <v>1.1000000000000001</v>
      </c>
      <c r="AF196">
        <v>0.5</v>
      </c>
      <c r="AG196" t="str">
        <f t="shared" si="248"/>
        <v>205</v>
      </c>
      <c r="AH196" t="str">
        <f t="shared" si="249"/>
        <v>（株）ムロコーポレーション</v>
      </c>
      <c r="AI196" t="str">
        <f>"208"</f>
        <v>208</v>
      </c>
      <c r="AJ196" t="str">
        <f>"S-SM-1-55"</f>
        <v>S-SM-1-55</v>
      </c>
      <c r="AK196" t="str">
        <f>"10253"</f>
        <v>10253</v>
      </c>
      <c r="AL196" t="str">
        <f t="shared" ref="AL196:AL259" si="271">"0370"</f>
        <v>0370</v>
      </c>
      <c r="AM196" t="str">
        <f t="shared" ref="AM196:AM259" si="272">"ｼﾑ"</f>
        <v>ｼﾑ</v>
      </c>
      <c r="AN196" t="str">
        <f t="shared" si="250"/>
        <v>012</v>
      </c>
      <c r="AO196" t="str">
        <f t="shared" si="251"/>
        <v>TP-131 ﾊﾝﾖｳ</v>
      </c>
      <c r="AP196">
        <v>100</v>
      </c>
      <c r="AQ196" t="str">
        <f>""</f>
        <v/>
      </c>
      <c r="AR196" t="str">
        <f>""</f>
        <v/>
      </c>
      <c r="AS196" t="str">
        <f>""</f>
        <v/>
      </c>
      <c r="AT196" t="str">
        <f t="shared" si="252"/>
        <v>00</v>
      </c>
      <c r="AU196">
        <v>0.5</v>
      </c>
      <c r="AV196" t="str">
        <f>""</f>
        <v/>
      </c>
      <c r="AW196" t="str">
        <f t="shared" ref="AW196:AW259" si="273">"06"</f>
        <v>06</v>
      </c>
      <c r="AX196" t="str">
        <f t="shared" ref="AX196:AX259" si="274">"計画"</f>
        <v>計画</v>
      </c>
      <c r="AY196" t="str">
        <f t="shared" ref="AY196:AY259" si="275">"02"</f>
        <v>02</v>
      </c>
      <c r="AZ196" t="str">
        <f t="shared" ref="AZ196:AZ259" si="276">"計画・２社"</f>
        <v>計画・２社</v>
      </c>
      <c r="BA196" t="str">
        <f>""</f>
        <v/>
      </c>
      <c r="BB196" t="str">
        <f t="shared" si="253"/>
        <v>ＴＰ１３１フタナシ</v>
      </c>
      <c r="BC196" t="str">
        <f t="shared" si="254"/>
        <v xml:space="preserve"> 335.000</v>
      </c>
      <c r="BD196" t="str">
        <f t="shared" si="255"/>
        <v xml:space="preserve"> 168.000</v>
      </c>
      <c r="BE196" t="str">
        <f t="shared" si="256"/>
        <v xml:space="preserve"> 103.000</v>
      </c>
      <c r="BF196" t="str">
        <f t="shared" si="257"/>
        <v xml:space="preserve">   0.006</v>
      </c>
      <c r="BG196" t="str">
        <f>"   6.500"</f>
        <v xml:space="preserve">   6.500</v>
      </c>
      <c r="BH196" t="str">
        <f t="shared" si="221"/>
        <v>しない</v>
      </c>
      <c r="BI196" t="str">
        <f>""</f>
        <v/>
      </c>
      <c r="BJ196" t="str">
        <f t="shared" si="198"/>
        <v>MASTER01</v>
      </c>
      <c r="BK196" t="str">
        <f>"2023/01/17"</f>
        <v>2023/01/17</v>
      </c>
      <c r="BL196" t="str">
        <f t="shared" si="268"/>
        <v>NE00</v>
      </c>
      <c r="BM196" t="str">
        <f t="shared" si="269"/>
        <v>１工工務Ｇ</v>
      </c>
      <c r="BN196" t="str">
        <f>"41943"</f>
        <v>41943</v>
      </c>
      <c r="BO196" t="str">
        <f>"伊藤　真和"</f>
        <v>伊藤　真和</v>
      </c>
    </row>
    <row r="197" spans="1:67">
      <c r="A197" t="s">
        <v>279</v>
      </c>
      <c r="B197" t="str">
        <f>""</f>
        <v/>
      </c>
      <c r="C197" t="str">
        <f>""</f>
        <v/>
      </c>
      <c r="D197" t="str">
        <f t="shared" si="270"/>
        <v>SHIM</v>
      </c>
      <c r="E197" t="str">
        <f t="shared" si="258"/>
        <v>1Y</v>
      </c>
      <c r="F197" t="str">
        <f t="shared" si="259"/>
        <v>第１工場</v>
      </c>
      <c r="G197" t="str">
        <f t="shared" si="260"/>
        <v>手配</v>
      </c>
      <c r="H197" t="str">
        <f t="shared" si="261"/>
        <v>Ｐ</v>
      </c>
      <c r="I197" t="str">
        <f t="shared" si="246"/>
        <v>6454</v>
      </c>
      <c r="J197" t="str">
        <f t="shared" si="247"/>
        <v>（株）ムロコーポレーション</v>
      </c>
      <c r="K197" t="str">
        <f t="shared" si="245"/>
        <v>01</v>
      </c>
      <c r="L197" t="str">
        <f>""</f>
        <v/>
      </c>
      <c r="M197" t="str">
        <f t="shared" si="222"/>
        <v>――</v>
      </c>
      <c r="N197" t="str">
        <f t="shared" si="215"/>
        <v>――</v>
      </c>
      <c r="O197" t="str">
        <f t="shared" si="262"/>
        <v>Ｍ</v>
      </c>
      <c r="P197" t="str">
        <f t="shared" si="263"/>
        <v>01</v>
      </c>
      <c r="Q197" t="str">
        <f t="shared" si="264"/>
        <v>第１</v>
      </c>
      <c r="R197" t="str">
        <f t="shared" si="265"/>
        <v>1Y</v>
      </c>
      <c r="S197" t="str">
        <f t="shared" si="266"/>
        <v>安城第１工場</v>
      </c>
      <c r="T197" t="str">
        <f t="shared" si="267"/>
        <v>直接</v>
      </c>
      <c r="U197" t="str">
        <f>""</f>
        <v/>
      </c>
      <c r="V197" t="str">
        <f>""</f>
        <v/>
      </c>
      <c r="W197" t="str">
        <f>""</f>
        <v/>
      </c>
      <c r="X197">
        <v>1</v>
      </c>
      <c r="Y197">
        <v>1</v>
      </c>
      <c r="Z197">
        <v>0.73</v>
      </c>
      <c r="AA197">
        <v>0.93</v>
      </c>
      <c r="AB197">
        <v>3</v>
      </c>
      <c r="AC197">
        <v>0.93</v>
      </c>
      <c r="AD197">
        <v>0.93</v>
      </c>
      <c r="AE197">
        <v>1.1000000000000001</v>
      </c>
      <c r="AF197">
        <v>0.5</v>
      </c>
      <c r="AG197" t="str">
        <f t="shared" si="248"/>
        <v>205</v>
      </c>
      <c r="AH197" t="str">
        <f t="shared" si="249"/>
        <v>（株）ムロコーポレーション</v>
      </c>
      <c r="AI197" t="str">
        <f>"209"</f>
        <v>209</v>
      </c>
      <c r="AJ197" t="str">
        <f>"S-SM-1-44"</f>
        <v>S-SM-1-44</v>
      </c>
      <c r="AK197" t="str">
        <f>"10254"</f>
        <v>10254</v>
      </c>
      <c r="AL197" t="str">
        <f t="shared" si="271"/>
        <v>0370</v>
      </c>
      <c r="AM197" t="str">
        <f t="shared" si="272"/>
        <v>ｼﾑ</v>
      </c>
      <c r="AN197" t="str">
        <f t="shared" si="250"/>
        <v>012</v>
      </c>
      <c r="AO197" t="str">
        <f t="shared" si="251"/>
        <v>TP-131 ﾊﾝﾖｳ</v>
      </c>
      <c r="AP197">
        <v>100</v>
      </c>
      <c r="AQ197" t="str">
        <f>""</f>
        <v/>
      </c>
      <c r="AR197" t="str">
        <f>""</f>
        <v/>
      </c>
      <c r="AS197" t="str">
        <f>""</f>
        <v/>
      </c>
      <c r="AT197" t="str">
        <f t="shared" si="252"/>
        <v>00</v>
      </c>
      <c r="AU197">
        <v>0.5</v>
      </c>
      <c r="AV197" t="str">
        <f>""</f>
        <v/>
      </c>
      <c r="AW197" t="str">
        <f t="shared" si="273"/>
        <v>06</v>
      </c>
      <c r="AX197" t="str">
        <f t="shared" si="274"/>
        <v>計画</v>
      </c>
      <c r="AY197" t="str">
        <f t="shared" si="275"/>
        <v>02</v>
      </c>
      <c r="AZ197" t="str">
        <f t="shared" si="276"/>
        <v>計画・２社</v>
      </c>
      <c r="BA197" t="str">
        <f>""</f>
        <v/>
      </c>
      <c r="BB197" t="str">
        <f t="shared" si="253"/>
        <v>ＴＰ１３１フタナシ</v>
      </c>
      <c r="BC197" t="str">
        <f t="shared" si="254"/>
        <v xml:space="preserve"> 335.000</v>
      </c>
      <c r="BD197" t="str">
        <f t="shared" si="255"/>
        <v xml:space="preserve"> 168.000</v>
      </c>
      <c r="BE197" t="str">
        <f t="shared" si="256"/>
        <v xml:space="preserve"> 103.000</v>
      </c>
      <c r="BF197" t="str">
        <f t="shared" si="257"/>
        <v xml:space="preserve">   0.006</v>
      </c>
      <c r="BG197" t="str">
        <f>"   6.500"</f>
        <v xml:space="preserve">   6.500</v>
      </c>
      <c r="BH197" t="str">
        <f t="shared" si="221"/>
        <v>しない</v>
      </c>
      <c r="BI197" t="str">
        <f>""</f>
        <v/>
      </c>
      <c r="BJ197" t="str">
        <f t="shared" si="198"/>
        <v>MASTER01</v>
      </c>
      <c r="BK197" t="str">
        <f t="shared" ref="BK197:BK204" si="277">"2022/04/19"</f>
        <v>2022/04/19</v>
      </c>
      <c r="BL197" t="str">
        <f t="shared" si="268"/>
        <v>NE00</v>
      </c>
      <c r="BM197" t="str">
        <f t="shared" si="269"/>
        <v>１工工務Ｇ</v>
      </c>
      <c r="BN197" t="str">
        <f t="shared" ref="BN197:BN260" si="278">"46548"</f>
        <v>46548</v>
      </c>
      <c r="BO197" t="str">
        <f t="shared" ref="BO197:BO260" si="279">"長畑　玲奈"</f>
        <v>長畑　玲奈</v>
      </c>
    </row>
    <row r="198" spans="1:67">
      <c r="A198" t="s">
        <v>280</v>
      </c>
      <c r="B198" t="str">
        <f>""</f>
        <v/>
      </c>
      <c r="C198" t="str">
        <f>""</f>
        <v/>
      </c>
      <c r="D198" t="str">
        <f t="shared" si="270"/>
        <v>SHIM</v>
      </c>
      <c r="E198" t="str">
        <f t="shared" si="258"/>
        <v>1Y</v>
      </c>
      <c r="F198" t="str">
        <f t="shared" si="259"/>
        <v>第１工場</v>
      </c>
      <c r="G198" t="str">
        <f t="shared" si="260"/>
        <v>手配</v>
      </c>
      <c r="H198" t="str">
        <f t="shared" si="261"/>
        <v>Ｐ</v>
      </c>
      <c r="I198" t="str">
        <f t="shared" si="246"/>
        <v>6454</v>
      </c>
      <c r="J198" t="str">
        <f t="shared" si="247"/>
        <v>（株）ムロコーポレーション</v>
      </c>
      <c r="K198" t="str">
        <f t="shared" si="245"/>
        <v>01</v>
      </c>
      <c r="L198" t="str">
        <f>""</f>
        <v/>
      </c>
      <c r="M198" t="str">
        <f t="shared" si="222"/>
        <v>――</v>
      </c>
      <c r="N198" t="str">
        <f t="shared" si="215"/>
        <v>――</v>
      </c>
      <c r="O198" t="str">
        <f t="shared" si="262"/>
        <v>Ｍ</v>
      </c>
      <c r="P198" t="str">
        <f t="shared" si="263"/>
        <v>01</v>
      </c>
      <c r="Q198" t="str">
        <f t="shared" si="264"/>
        <v>第１</v>
      </c>
      <c r="R198" t="str">
        <f t="shared" si="265"/>
        <v>1Y</v>
      </c>
      <c r="S198" t="str">
        <f t="shared" si="266"/>
        <v>安城第１工場</v>
      </c>
      <c r="T198" t="str">
        <f t="shared" si="267"/>
        <v>直接</v>
      </c>
      <c r="U198" t="str">
        <f>""</f>
        <v/>
      </c>
      <c r="V198" t="str">
        <f>""</f>
        <v/>
      </c>
      <c r="W198" t="str">
        <f>""</f>
        <v/>
      </c>
      <c r="X198">
        <v>1</v>
      </c>
      <c r="Y198">
        <v>1</v>
      </c>
      <c r="Z198">
        <v>0.73</v>
      </c>
      <c r="AA198">
        <v>0.93</v>
      </c>
      <c r="AB198">
        <v>3</v>
      </c>
      <c r="AC198">
        <v>0.93</v>
      </c>
      <c r="AD198">
        <v>0.93</v>
      </c>
      <c r="AE198">
        <v>1.1000000000000001</v>
      </c>
      <c r="AF198">
        <v>0.5</v>
      </c>
      <c r="AG198" t="str">
        <f t="shared" si="248"/>
        <v>205</v>
      </c>
      <c r="AH198" t="str">
        <f t="shared" si="249"/>
        <v>（株）ムロコーポレーション</v>
      </c>
      <c r="AI198" t="str">
        <f>"210"</f>
        <v>210</v>
      </c>
      <c r="AJ198" t="str">
        <f>"S-SM-1-45"</f>
        <v>S-SM-1-45</v>
      </c>
      <c r="AK198" t="str">
        <f>"10255"</f>
        <v>10255</v>
      </c>
      <c r="AL198" t="str">
        <f t="shared" si="271"/>
        <v>0370</v>
      </c>
      <c r="AM198" t="str">
        <f t="shared" si="272"/>
        <v>ｼﾑ</v>
      </c>
      <c r="AN198" t="str">
        <f t="shared" si="250"/>
        <v>012</v>
      </c>
      <c r="AO198" t="str">
        <f t="shared" si="251"/>
        <v>TP-131 ﾊﾝﾖｳ</v>
      </c>
      <c r="AP198">
        <v>100</v>
      </c>
      <c r="AQ198" t="str">
        <f>""</f>
        <v/>
      </c>
      <c r="AR198" t="str">
        <f>""</f>
        <v/>
      </c>
      <c r="AS198" t="str">
        <f>""</f>
        <v/>
      </c>
      <c r="AT198" t="str">
        <f t="shared" si="252"/>
        <v>00</v>
      </c>
      <c r="AU198">
        <v>0.5</v>
      </c>
      <c r="AV198" t="str">
        <f>""</f>
        <v/>
      </c>
      <c r="AW198" t="str">
        <f t="shared" si="273"/>
        <v>06</v>
      </c>
      <c r="AX198" t="str">
        <f t="shared" si="274"/>
        <v>計画</v>
      </c>
      <c r="AY198" t="str">
        <f t="shared" si="275"/>
        <v>02</v>
      </c>
      <c r="AZ198" t="str">
        <f t="shared" si="276"/>
        <v>計画・２社</v>
      </c>
      <c r="BA198" t="str">
        <f>""</f>
        <v/>
      </c>
      <c r="BB198" t="str">
        <f t="shared" si="253"/>
        <v>ＴＰ１３１フタナシ</v>
      </c>
      <c r="BC198" t="str">
        <f t="shared" si="254"/>
        <v xml:space="preserve"> 335.000</v>
      </c>
      <c r="BD198" t="str">
        <f t="shared" si="255"/>
        <v xml:space="preserve"> 168.000</v>
      </c>
      <c r="BE198" t="str">
        <f t="shared" si="256"/>
        <v xml:space="preserve"> 103.000</v>
      </c>
      <c r="BF198" t="str">
        <f t="shared" si="257"/>
        <v xml:space="preserve">   0.006</v>
      </c>
      <c r="BG198" t="str">
        <f>"   6.500"</f>
        <v xml:space="preserve">   6.500</v>
      </c>
      <c r="BH198" t="str">
        <f t="shared" si="221"/>
        <v>しない</v>
      </c>
      <c r="BI198" t="str">
        <f>""</f>
        <v/>
      </c>
      <c r="BJ198" t="str">
        <f t="shared" si="198"/>
        <v>MASTER01</v>
      </c>
      <c r="BK198" t="str">
        <f t="shared" si="277"/>
        <v>2022/04/19</v>
      </c>
      <c r="BL198" t="str">
        <f t="shared" si="268"/>
        <v>NE00</v>
      </c>
      <c r="BM198" t="str">
        <f t="shared" si="269"/>
        <v>１工工務Ｇ</v>
      </c>
      <c r="BN198" t="str">
        <f t="shared" si="278"/>
        <v>46548</v>
      </c>
      <c r="BO198" t="str">
        <f t="shared" si="279"/>
        <v>長畑　玲奈</v>
      </c>
    </row>
    <row r="199" spans="1:67">
      <c r="A199" t="s">
        <v>281</v>
      </c>
      <c r="B199" t="str">
        <f>""</f>
        <v/>
      </c>
      <c r="C199" t="str">
        <f>""</f>
        <v/>
      </c>
      <c r="D199" t="str">
        <f t="shared" si="270"/>
        <v>SHIM</v>
      </c>
      <c r="E199" t="str">
        <f t="shared" si="258"/>
        <v>1Y</v>
      </c>
      <c r="F199" t="str">
        <f t="shared" si="259"/>
        <v>第１工場</v>
      </c>
      <c r="G199" t="str">
        <f t="shared" si="260"/>
        <v>手配</v>
      </c>
      <c r="H199" t="str">
        <f t="shared" si="261"/>
        <v>Ｐ</v>
      </c>
      <c r="I199" t="str">
        <f t="shared" si="246"/>
        <v>6454</v>
      </c>
      <c r="J199" t="str">
        <f t="shared" si="247"/>
        <v>（株）ムロコーポレーション</v>
      </c>
      <c r="K199" t="str">
        <f t="shared" si="245"/>
        <v>01</v>
      </c>
      <c r="L199" t="str">
        <f>""</f>
        <v/>
      </c>
      <c r="M199" t="str">
        <f t="shared" si="222"/>
        <v>――</v>
      </c>
      <c r="N199" t="str">
        <f t="shared" si="215"/>
        <v>――</v>
      </c>
      <c r="O199" t="str">
        <f t="shared" si="262"/>
        <v>Ｍ</v>
      </c>
      <c r="P199" t="str">
        <f t="shared" si="263"/>
        <v>01</v>
      </c>
      <c r="Q199" t="str">
        <f t="shared" si="264"/>
        <v>第１</v>
      </c>
      <c r="R199" t="str">
        <f t="shared" si="265"/>
        <v>1Y</v>
      </c>
      <c r="S199" t="str">
        <f t="shared" si="266"/>
        <v>安城第１工場</v>
      </c>
      <c r="T199" t="str">
        <f t="shared" si="267"/>
        <v>直接</v>
      </c>
      <c r="U199" t="str">
        <f>""</f>
        <v/>
      </c>
      <c r="V199" t="str">
        <f>""</f>
        <v/>
      </c>
      <c r="W199" t="str">
        <f>""</f>
        <v/>
      </c>
      <c r="X199">
        <v>1</v>
      </c>
      <c r="Y199">
        <v>1</v>
      </c>
      <c r="Z199">
        <v>0.73</v>
      </c>
      <c r="AA199">
        <v>0.93</v>
      </c>
      <c r="AB199">
        <v>3</v>
      </c>
      <c r="AC199">
        <v>0.93</v>
      </c>
      <c r="AD199">
        <v>0.93</v>
      </c>
      <c r="AE199">
        <v>1.1000000000000001</v>
      </c>
      <c r="AF199">
        <v>0.5</v>
      </c>
      <c r="AG199" t="str">
        <f t="shared" si="248"/>
        <v>205</v>
      </c>
      <c r="AH199" t="str">
        <f t="shared" si="249"/>
        <v>（株）ムロコーポレーション</v>
      </c>
      <c r="AI199" t="str">
        <f>"211"</f>
        <v>211</v>
      </c>
      <c r="AJ199" t="str">
        <f>"S-SM-1-46"</f>
        <v>S-SM-1-46</v>
      </c>
      <c r="AK199" t="str">
        <f>"10256"</f>
        <v>10256</v>
      </c>
      <c r="AL199" t="str">
        <f t="shared" si="271"/>
        <v>0370</v>
      </c>
      <c r="AM199" t="str">
        <f t="shared" si="272"/>
        <v>ｼﾑ</v>
      </c>
      <c r="AN199" t="str">
        <f t="shared" si="250"/>
        <v>012</v>
      </c>
      <c r="AO199" t="str">
        <f t="shared" si="251"/>
        <v>TP-131 ﾊﾝﾖｳ</v>
      </c>
      <c r="AP199">
        <v>100</v>
      </c>
      <c r="AQ199" t="str">
        <f>""</f>
        <v/>
      </c>
      <c r="AR199" t="str">
        <f>""</f>
        <v/>
      </c>
      <c r="AS199" t="str">
        <f>""</f>
        <v/>
      </c>
      <c r="AT199" t="str">
        <f t="shared" si="252"/>
        <v>00</v>
      </c>
      <c r="AU199">
        <v>0.5</v>
      </c>
      <c r="AV199" t="str">
        <f>""</f>
        <v/>
      </c>
      <c r="AW199" t="str">
        <f t="shared" si="273"/>
        <v>06</v>
      </c>
      <c r="AX199" t="str">
        <f t="shared" si="274"/>
        <v>計画</v>
      </c>
      <c r="AY199" t="str">
        <f t="shared" si="275"/>
        <v>02</v>
      </c>
      <c r="AZ199" t="str">
        <f t="shared" si="276"/>
        <v>計画・２社</v>
      </c>
      <c r="BA199" t="str">
        <f>""</f>
        <v/>
      </c>
      <c r="BB199" t="str">
        <f t="shared" si="253"/>
        <v>ＴＰ１３１フタナシ</v>
      </c>
      <c r="BC199" t="str">
        <f t="shared" si="254"/>
        <v xml:space="preserve"> 335.000</v>
      </c>
      <c r="BD199" t="str">
        <f t="shared" si="255"/>
        <v xml:space="preserve"> 168.000</v>
      </c>
      <c r="BE199" t="str">
        <f t="shared" si="256"/>
        <v xml:space="preserve"> 103.000</v>
      </c>
      <c r="BF199" t="str">
        <f t="shared" si="257"/>
        <v xml:space="preserve">   0.006</v>
      </c>
      <c r="BG199" t="str">
        <f>"   5.600"</f>
        <v xml:space="preserve">   5.600</v>
      </c>
      <c r="BH199" t="str">
        <f t="shared" si="221"/>
        <v>しない</v>
      </c>
      <c r="BI199" t="str">
        <f>""</f>
        <v/>
      </c>
      <c r="BJ199" t="str">
        <f t="shared" si="198"/>
        <v>MASTER01</v>
      </c>
      <c r="BK199" t="str">
        <f t="shared" si="277"/>
        <v>2022/04/19</v>
      </c>
      <c r="BL199" t="str">
        <f t="shared" si="268"/>
        <v>NE00</v>
      </c>
      <c r="BM199" t="str">
        <f t="shared" si="269"/>
        <v>１工工務Ｇ</v>
      </c>
      <c r="BN199" t="str">
        <f t="shared" si="278"/>
        <v>46548</v>
      </c>
      <c r="BO199" t="str">
        <f t="shared" si="279"/>
        <v>長畑　玲奈</v>
      </c>
    </row>
    <row r="200" spans="1:67">
      <c r="A200" t="s">
        <v>282</v>
      </c>
      <c r="B200" t="str">
        <f>""</f>
        <v/>
      </c>
      <c r="C200" t="str">
        <f>""</f>
        <v/>
      </c>
      <c r="D200" t="str">
        <f t="shared" si="270"/>
        <v>SHIM</v>
      </c>
      <c r="E200" t="str">
        <f t="shared" si="258"/>
        <v>1Y</v>
      </c>
      <c r="F200" t="str">
        <f t="shared" si="259"/>
        <v>第１工場</v>
      </c>
      <c r="G200" t="str">
        <f t="shared" si="260"/>
        <v>手配</v>
      </c>
      <c r="H200" t="str">
        <f t="shared" si="261"/>
        <v>Ｐ</v>
      </c>
      <c r="I200" t="str">
        <f t="shared" si="246"/>
        <v>6454</v>
      </c>
      <c r="J200" t="str">
        <f t="shared" si="247"/>
        <v>（株）ムロコーポレーション</v>
      </c>
      <c r="K200" t="str">
        <f t="shared" si="245"/>
        <v>01</v>
      </c>
      <c r="L200" t="str">
        <f>""</f>
        <v/>
      </c>
      <c r="M200" t="str">
        <f t="shared" si="222"/>
        <v>――</v>
      </c>
      <c r="N200" t="str">
        <f t="shared" si="215"/>
        <v>――</v>
      </c>
      <c r="O200" t="str">
        <f t="shared" si="262"/>
        <v>Ｍ</v>
      </c>
      <c r="P200" t="str">
        <f t="shared" si="263"/>
        <v>01</v>
      </c>
      <c r="Q200" t="str">
        <f t="shared" si="264"/>
        <v>第１</v>
      </c>
      <c r="R200" t="str">
        <f t="shared" si="265"/>
        <v>1Y</v>
      </c>
      <c r="S200" t="str">
        <f t="shared" si="266"/>
        <v>安城第１工場</v>
      </c>
      <c r="T200" t="str">
        <f t="shared" si="267"/>
        <v>直接</v>
      </c>
      <c r="U200" t="str">
        <f>""</f>
        <v/>
      </c>
      <c r="V200" t="str">
        <f>""</f>
        <v/>
      </c>
      <c r="W200" t="str">
        <f>""</f>
        <v/>
      </c>
      <c r="X200">
        <v>1</v>
      </c>
      <c r="Y200">
        <v>1</v>
      </c>
      <c r="Z200">
        <v>0.73</v>
      </c>
      <c r="AA200">
        <v>0.93</v>
      </c>
      <c r="AB200">
        <v>3</v>
      </c>
      <c r="AC200">
        <v>0.93</v>
      </c>
      <c r="AD200">
        <v>0.93</v>
      </c>
      <c r="AE200">
        <v>1.1000000000000001</v>
      </c>
      <c r="AF200">
        <v>0.5</v>
      </c>
      <c r="AG200" t="str">
        <f t="shared" si="248"/>
        <v>205</v>
      </c>
      <c r="AH200" t="str">
        <f t="shared" si="249"/>
        <v>（株）ムロコーポレーション</v>
      </c>
      <c r="AI200" t="str">
        <f>"212"</f>
        <v>212</v>
      </c>
      <c r="AJ200" t="str">
        <f>"S-SM-1-47"</f>
        <v>S-SM-1-47</v>
      </c>
      <c r="AK200" t="str">
        <f>"10257"</f>
        <v>10257</v>
      </c>
      <c r="AL200" t="str">
        <f t="shared" si="271"/>
        <v>0370</v>
      </c>
      <c r="AM200" t="str">
        <f t="shared" si="272"/>
        <v>ｼﾑ</v>
      </c>
      <c r="AN200" t="str">
        <f t="shared" si="250"/>
        <v>012</v>
      </c>
      <c r="AO200" t="str">
        <f t="shared" si="251"/>
        <v>TP-131 ﾊﾝﾖｳ</v>
      </c>
      <c r="AP200">
        <v>100</v>
      </c>
      <c r="AQ200" t="str">
        <f>""</f>
        <v/>
      </c>
      <c r="AR200" t="str">
        <f>""</f>
        <v/>
      </c>
      <c r="AS200" t="str">
        <f>""</f>
        <v/>
      </c>
      <c r="AT200" t="str">
        <f t="shared" si="252"/>
        <v>00</v>
      </c>
      <c r="AU200">
        <v>0.5</v>
      </c>
      <c r="AV200" t="str">
        <f>""</f>
        <v/>
      </c>
      <c r="AW200" t="str">
        <f t="shared" si="273"/>
        <v>06</v>
      </c>
      <c r="AX200" t="str">
        <f t="shared" si="274"/>
        <v>計画</v>
      </c>
      <c r="AY200" t="str">
        <f t="shared" si="275"/>
        <v>02</v>
      </c>
      <c r="AZ200" t="str">
        <f t="shared" si="276"/>
        <v>計画・２社</v>
      </c>
      <c r="BA200" t="str">
        <f>""</f>
        <v/>
      </c>
      <c r="BB200" t="str">
        <f t="shared" si="253"/>
        <v>ＴＰ１３１フタナシ</v>
      </c>
      <c r="BC200" t="str">
        <f t="shared" si="254"/>
        <v xml:space="preserve"> 335.000</v>
      </c>
      <c r="BD200" t="str">
        <f t="shared" si="255"/>
        <v xml:space="preserve"> 168.000</v>
      </c>
      <c r="BE200" t="str">
        <f t="shared" si="256"/>
        <v xml:space="preserve"> 103.000</v>
      </c>
      <c r="BF200" t="str">
        <f t="shared" si="257"/>
        <v xml:space="preserve">   0.006</v>
      </c>
      <c r="BG200" t="str">
        <f>"   5.600"</f>
        <v xml:space="preserve">   5.600</v>
      </c>
      <c r="BH200" t="str">
        <f t="shared" si="221"/>
        <v>しない</v>
      </c>
      <c r="BI200" t="str">
        <f>""</f>
        <v/>
      </c>
      <c r="BJ200" t="str">
        <f t="shared" si="198"/>
        <v>MASTER01</v>
      </c>
      <c r="BK200" t="str">
        <f t="shared" si="277"/>
        <v>2022/04/19</v>
      </c>
      <c r="BL200" t="str">
        <f t="shared" si="268"/>
        <v>NE00</v>
      </c>
      <c r="BM200" t="str">
        <f t="shared" si="269"/>
        <v>１工工務Ｇ</v>
      </c>
      <c r="BN200" t="str">
        <f t="shared" si="278"/>
        <v>46548</v>
      </c>
      <c r="BO200" t="str">
        <f t="shared" si="279"/>
        <v>長畑　玲奈</v>
      </c>
    </row>
    <row r="201" spans="1:67">
      <c r="A201" t="s">
        <v>283</v>
      </c>
      <c r="B201" t="str">
        <f>""</f>
        <v/>
      </c>
      <c r="C201" t="str">
        <f>""</f>
        <v/>
      </c>
      <c r="D201" t="str">
        <f t="shared" si="270"/>
        <v>SHIM</v>
      </c>
      <c r="E201" t="str">
        <f t="shared" si="258"/>
        <v>1Y</v>
      </c>
      <c r="F201" t="str">
        <f t="shared" si="259"/>
        <v>第１工場</v>
      </c>
      <c r="G201" t="str">
        <f t="shared" si="260"/>
        <v>手配</v>
      </c>
      <c r="H201" t="str">
        <f t="shared" si="261"/>
        <v>Ｐ</v>
      </c>
      <c r="I201" t="str">
        <f t="shared" si="246"/>
        <v>6454</v>
      </c>
      <c r="J201" t="str">
        <f t="shared" si="247"/>
        <v>（株）ムロコーポレーション</v>
      </c>
      <c r="K201" t="str">
        <f t="shared" si="245"/>
        <v>01</v>
      </c>
      <c r="L201" t="str">
        <f>""</f>
        <v/>
      </c>
      <c r="M201" t="str">
        <f t="shared" si="222"/>
        <v>――</v>
      </c>
      <c r="N201" t="str">
        <f t="shared" si="215"/>
        <v>――</v>
      </c>
      <c r="O201" t="str">
        <f t="shared" si="262"/>
        <v>Ｍ</v>
      </c>
      <c r="P201" t="str">
        <f t="shared" si="263"/>
        <v>01</v>
      </c>
      <c r="Q201" t="str">
        <f t="shared" si="264"/>
        <v>第１</v>
      </c>
      <c r="R201" t="str">
        <f t="shared" si="265"/>
        <v>1Y</v>
      </c>
      <c r="S201" t="str">
        <f t="shared" si="266"/>
        <v>安城第１工場</v>
      </c>
      <c r="T201" t="str">
        <f t="shared" si="267"/>
        <v>直接</v>
      </c>
      <c r="U201" t="str">
        <f>""</f>
        <v/>
      </c>
      <c r="V201" t="str">
        <f>""</f>
        <v/>
      </c>
      <c r="W201" t="str">
        <f>""</f>
        <v/>
      </c>
      <c r="X201">
        <v>1</v>
      </c>
      <c r="Y201">
        <v>1</v>
      </c>
      <c r="Z201">
        <v>0.73</v>
      </c>
      <c r="AA201">
        <v>0.93</v>
      </c>
      <c r="AB201">
        <v>3</v>
      </c>
      <c r="AC201">
        <v>0.93</v>
      </c>
      <c r="AD201">
        <v>0.93</v>
      </c>
      <c r="AE201">
        <v>1.1000000000000001</v>
      </c>
      <c r="AF201">
        <v>0.5</v>
      </c>
      <c r="AG201" t="str">
        <f t="shared" si="248"/>
        <v>205</v>
      </c>
      <c r="AH201" t="str">
        <f t="shared" si="249"/>
        <v>（株）ムロコーポレーション</v>
      </c>
      <c r="AI201" t="str">
        <f>"213"</f>
        <v>213</v>
      </c>
      <c r="AJ201" t="str">
        <f>"S-SM-1-48"</f>
        <v>S-SM-1-48</v>
      </c>
      <c r="AK201" t="str">
        <f>"10258"</f>
        <v>10258</v>
      </c>
      <c r="AL201" t="str">
        <f t="shared" si="271"/>
        <v>0370</v>
      </c>
      <c r="AM201" t="str">
        <f t="shared" si="272"/>
        <v>ｼﾑ</v>
      </c>
      <c r="AN201" t="str">
        <f t="shared" si="250"/>
        <v>012</v>
      </c>
      <c r="AO201" t="str">
        <f t="shared" si="251"/>
        <v>TP-131 ﾊﾝﾖｳ</v>
      </c>
      <c r="AP201">
        <v>100</v>
      </c>
      <c r="AQ201" t="str">
        <f>""</f>
        <v/>
      </c>
      <c r="AR201" t="str">
        <f>""</f>
        <v/>
      </c>
      <c r="AS201" t="str">
        <f>""</f>
        <v/>
      </c>
      <c r="AT201" t="str">
        <f t="shared" si="252"/>
        <v>00</v>
      </c>
      <c r="AU201">
        <v>0.5</v>
      </c>
      <c r="AV201" t="str">
        <f>""</f>
        <v/>
      </c>
      <c r="AW201" t="str">
        <f t="shared" si="273"/>
        <v>06</v>
      </c>
      <c r="AX201" t="str">
        <f t="shared" si="274"/>
        <v>計画</v>
      </c>
      <c r="AY201" t="str">
        <f t="shared" si="275"/>
        <v>02</v>
      </c>
      <c r="AZ201" t="str">
        <f t="shared" si="276"/>
        <v>計画・２社</v>
      </c>
      <c r="BA201" t="str">
        <f>""</f>
        <v/>
      </c>
      <c r="BB201" t="str">
        <f t="shared" si="253"/>
        <v>ＴＰ１３１フタナシ</v>
      </c>
      <c r="BC201" t="str">
        <f t="shared" si="254"/>
        <v xml:space="preserve"> 335.000</v>
      </c>
      <c r="BD201" t="str">
        <f t="shared" si="255"/>
        <v xml:space="preserve"> 168.000</v>
      </c>
      <c r="BE201" t="str">
        <f t="shared" si="256"/>
        <v xml:space="preserve"> 103.000</v>
      </c>
      <c r="BF201" t="str">
        <f t="shared" si="257"/>
        <v xml:space="preserve">   0.006</v>
      </c>
      <c r="BG201" t="str">
        <f>"   5.600"</f>
        <v xml:space="preserve">   5.600</v>
      </c>
      <c r="BH201" t="str">
        <f t="shared" si="221"/>
        <v>しない</v>
      </c>
      <c r="BI201" t="str">
        <f>""</f>
        <v/>
      </c>
      <c r="BJ201" t="str">
        <f t="shared" si="198"/>
        <v>MASTER01</v>
      </c>
      <c r="BK201" t="str">
        <f t="shared" si="277"/>
        <v>2022/04/19</v>
      </c>
      <c r="BL201" t="str">
        <f t="shared" si="268"/>
        <v>NE00</v>
      </c>
      <c r="BM201" t="str">
        <f t="shared" si="269"/>
        <v>１工工務Ｇ</v>
      </c>
      <c r="BN201" t="str">
        <f t="shared" si="278"/>
        <v>46548</v>
      </c>
      <c r="BO201" t="str">
        <f t="shared" si="279"/>
        <v>長畑　玲奈</v>
      </c>
    </row>
    <row r="202" spans="1:67">
      <c r="A202" t="s">
        <v>284</v>
      </c>
      <c r="B202" t="str">
        <f>""</f>
        <v/>
      </c>
      <c r="C202" t="str">
        <f>""</f>
        <v/>
      </c>
      <c r="D202" t="str">
        <f t="shared" si="270"/>
        <v>SHIM</v>
      </c>
      <c r="E202" t="str">
        <f t="shared" si="258"/>
        <v>1Y</v>
      </c>
      <c r="F202" t="str">
        <f t="shared" si="259"/>
        <v>第１工場</v>
      </c>
      <c r="G202" t="str">
        <f t="shared" si="260"/>
        <v>手配</v>
      </c>
      <c r="H202" t="str">
        <f t="shared" si="261"/>
        <v>Ｐ</v>
      </c>
      <c r="I202" t="str">
        <f t="shared" si="246"/>
        <v>6454</v>
      </c>
      <c r="J202" t="str">
        <f t="shared" si="247"/>
        <v>（株）ムロコーポレーション</v>
      </c>
      <c r="K202" t="str">
        <f t="shared" si="245"/>
        <v>01</v>
      </c>
      <c r="L202" t="str">
        <f>""</f>
        <v/>
      </c>
      <c r="M202" t="str">
        <f t="shared" si="222"/>
        <v>――</v>
      </c>
      <c r="N202" t="str">
        <f t="shared" si="215"/>
        <v>――</v>
      </c>
      <c r="O202" t="str">
        <f t="shared" si="262"/>
        <v>Ｍ</v>
      </c>
      <c r="P202" t="str">
        <f t="shared" si="263"/>
        <v>01</v>
      </c>
      <c r="Q202" t="str">
        <f t="shared" si="264"/>
        <v>第１</v>
      </c>
      <c r="R202" t="str">
        <f t="shared" si="265"/>
        <v>1Y</v>
      </c>
      <c r="S202" t="str">
        <f t="shared" si="266"/>
        <v>安城第１工場</v>
      </c>
      <c r="T202" t="str">
        <f t="shared" si="267"/>
        <v>直接</v>
      </c>
      <c r="U202" t="str">
        <f>""</f>
        <v/>
      </c>
      <c r="V202" t="str">
        <f>""</f>
        <v/>
      </c>
      <c r="W202" t="str">
        <f>""</f>
        <v/>
      </c>
      <c r="X202">
        <v>1</v>
      </c>
      <c r="Y202">
        <v>1</v>
      </c>
      <c r="Z202">
        <v>0.73</v>
      </c>
      <c r="AA202">
        <v>0.93</v>
      </c>
      <c r="AB202">
        <v>3</v>
      </c>
      <c r="AC202">
        <v>0.93</v>
      </c>
      <c r="AD202">
        <v>0.93</v>
      </c>
      <c r="AE202">
        <v>1.1000000000000001</v>
      </c>
      <c r="AF202">
        <v>0.5</v>
      </c>
      <c r="AG202" t="str">
        <f t="shared" si="248"/>
        <v>205</v>
      </c>
      <c r="AH202" t="str">
        <f t="shared" si="249"/>
        <v>（株）ムロコーポレーション</v>
      </c>
      <c r="AI202" t="str">
        <f>"214"</f>
        <v>214</v>
      </c>
      <c r="AJ202" t="str">
        <f>"S-SM-1-49"</f>
        <v>S-SM-1-49</v>
      </c>
      <c r="AK202" t="str">
        <f>"10259"</f>
        <v>10259</v>
      </c>
      <c r="AL202" t="str">
        <f t="shared" si="271"/>
        <v>0370</v>
      </c>
      <c r="AM202" t="str">
        <f t="shared" si="272"/>
        <v>ｼﾑ</v>
      </c>
      <c r="AN202" t="str">
        <f t="shared" si="250"/>
        <v>012</v>
      </c>
      <c r="AO202" t="str">
        <f t="shared" si="251"/>
        <v>TP-131 ﾊﾝﾖｳ</v>
      </c>
      <c r="AP202">
        <v>100</v>
      </c>
      <c r="AQ202" t="str">
        <f>""</f>
        <v/>
      </c>
      <c r="AR202" t="str">
        <f>""</f>
        <v/>
      </c>
      <c r="AS202" t="str">
        <f>""</f>
        <v/>
      </c>
      <c r="AT202" t="str">
        <f t="shared" si="252"/>
        <v>00</v>
      </c>
      <c r="AU202">
        <v>0.5</v>
      </c>
      <c r="AV202" t="str">
        <f>""</f>
        <v/>
      </c>
      <c r="AW202" t="str">
        <f t="shared" si="273"/>
        <v>06</v>
      </c>
      <c r="AX202" t="str">
        <f t="shared" si="274"/>
        <v>計画</v>
      </c>
      <c r="AY202" t="str">
        <f t="shared" si="275"/>
        <v>02</v>
      </c>
      <c r="AZ202" t="str">
        <f t="shared" si="276"/>
        <v>計画・２社</v>
      </c>
      <c r="BA202" t="str">
        <f>""</f>
        <v/>
      </c>
      <c r="BB202" t="str">
        <f t="shared" si="253"/>
        <v>ＴＰ１３１フタナシ</v>
      </c>
      <c r="BC202" t="str">
        <f t="shared" si="254"/>
        <v xml:space="preserve"> 335.000</v>
      </c>
      <c r="BD202" t="str">
        <f t="shared" si="255"/>
        <v xml:space="preserve"> 168.000</v>
      </c>
      <c r="BE202" t="str">
        <f t="shared" si="256"/>
        <v xml:space="preserve"> 103.000</v>
      </c>
      <c r="BF202" t="str">
        <f t="shared" si="257"/>
        <v xml:space="preserve">   0.006</v>
      </c>
      <c r="BG202" t="str">
        <f>"   5.600"</f>
        <v xml:space="preserve">   5.600</v>
      </c>
      <c r="BH202" t="str">
        <f t="shared" si="221"/>
        <v>しない</v>
      </c>
      <c r="BI202" t="str">
        <f>""</f>
        <v/>
      </c>
      <c r="BJ202" t="str">
        <f t="shared" si="198"/>
        <v>MASTER01</v>
      </c>
      <c r="BK202" t="str">
        <f t="shared" si="277"/>
        <v>2022/04/19</v>
      </c>
      <c r="BL202" t="str">
        <f t="shared" si="268"/>
        <v>NE00</v>
      </c>
      <c r="BM202" t="str">
        <f t="shared" si="269"/>
        <v>１工工務Ｇ</v>
      </c>
      <c r="BN202" t="str">
        <f t="shared" si="278"/>
        <v>46548</v>
      </c>
      <c r="BO202" t="str">
        <f t="shared" si="279"/>
        <v>長畑　玲奈</v>
      </c>
    </row>
    <row r="203" spans="1:67">
      <c r="A203" t="s">
        <v>285</v>
      </c>
      <c r="B203" t="str">
        <f>""</f>
        <v/>
      </c>
      <c r="C203" t="str">
        <f>""</f>
        <v/>
      </c>
      <c r="D203" t="str">
        <f t="shared" si="270"/>
        <v>SHIM</v>
      </c>
      <c r="E203" t="str">
        <f t="shared" si="258"/>
        <v>1Y</v>
      </c>
      <c r="F203" t="str">
        <f t="shared" si="259"/>
        <v>第１工場</v>
      </c>
      <c r="G203" t="str">
        <f t="shared" si="260"/>
        <v>手配</v>
      </c>
      <c r="H203" t="str">
        <f t="shared" si="261"/>
        <v>Ｐ</v>
      </c>
      <c r="I203" t="str">
        <f t="shared" si="246"/>
        <v>6454</v>
      </c>
      <c r="J203" t="str">
        <f t="shared" si="247"/>
        <v>（株）ムロコーポレーション</v>
      </c>
      <c r="K203" t="str">
        <f t="shared" si="245"/>
        <v>01</v>
      </c>
      <c r="L203" t="str">
        <f>""</f>
        <v/>
      </c>
      <c r="M203" t="str">
        <f t="shared" si="222"/>
        <v>――</v>
      </c>
      <c r="N203" t="str">
        <f t="shared" si="215"/>
        <v>――</v>
      </c>
      <c r="O203" t="str">
        <f t="shared" si="262"/>
        <v>Ｍ</v>
      </c>
      <c r="P203" t="str">
        <f t="shared" si="263"/>
        <v>01</v>
      </c>
      <c r="Q203" t="str">
        <f t="shared" si="264"/>
        <v>第１</v>
      </c>
      <c r="R203" t="str">
        <f t="shared" si="265"/>
        <v>1Y</v>
      </c>
      <c r="S203" t="str">
        <f t="shared" si="266"/>
        <v>安城第１工場</v>
      </c>
      <c r="T203" t="str">
        <f t="shared" si="267"/>
        <v>直接</v>
      </c>
      <c r="U203" t="str">
        <f>""</f>
        <v/>
      </c>
      <c r="V203" t="str">
        <f>""</f>
        <v/>
      </c>
      <c r="W203" t="str">
        <f>""</f>
        <v/>
      </c>
      <c r="X203">
        <v>1</v>
      </c>
      <c r="Y203">
        <v>1</v>
      </c>
      <c r="Z203">
        <v>0.73</v>
      </c>
      <c r="AA203">
        <v>0.93</v>
      </c>
      <c r="AB203">
        <v>3</v>
      </c>
      <c r="AC203">
        <v>0.93</v>
      </c>
      <c r="AD203">
        <v>0.93</v>
      </c>
      <c r="AE203">
        <v>1.1000000000000001</v>
      </c>
      <c r="AF203">
        <v>0.5</v>
      </c>
      <c r="AG203" t="str">
        <f t="shared" si="248"/>
        <v>205</v>
      </c>
      <c r="AH203" t="str">
        <f t="shared" si="249"/>
        <v>（株）ムロコーポレーション</v>
      </c>
      <c r="AI203" t="str">
        <f>"215"</f>
        <v>215</v>
      </c>
      <c r="AJ203" t="str">
        <f>"S-SM-1-56"</f>
        <v>S-SM-1-56</v>
      </c>
      <c r="AK203" t="str">
        <f>"10260"</f>
        <v>10260</v>
      </c>
      <c r="AL203" t="str">
        <f t="shared" si="271"/>
        <v>0370</v>
      </c>
      <c r="AM203" t="str">
        <f t="shared" si="272"/>
        <v>ｼﾑ</v>
      </c>
      <c r="AN203" t="str">
        <f t="shared" si="250"/>
        <v>012</v>
      </c>
      <c r="AO203" t="str">
        <f t="shared" si="251"/>
        <v>TP-131 ﾊﾝﾖｳ</v>
      </c>
      <c r="AP203">
        <v>100</v>
      </c>
      <c r="AQ203" t="str">
        <f>""</f>
        <v/>
      </c>
      <c r="AR203" t="str">
        <f>""</f>
        <v/>
      </c>
      <c r="AS203" t="str">
        <f>""</f>
        <v/>
      </c>
      <c r="AT203" t="str">
        <f t="shared" si="252"/>
        <v>00</v>
      </c>
      <c r="AU203">
        <v>0.5</v>
      </c>
      <c r="AV203" t="str">
        <f>""</f>
        <v/>
      </c>
      <c r="AW203" t="str">
        <f t="shared" si="273"/>
        <v>06</v>
      </c>
      <c r="AX203" t="str">
        <f t="shared" si="274"/>
        <v>計画</v>
      </c>
      <c r="AY203" t="str">
        <f t="shared" si="275"/>
        <v>02</v>
      </c>
      <c r="AZ203" t="str">
        <f t="shared" si="276"/>
        <v>計画・２社</v>
      </c>
      <c r="BA203" t="str">
        <f>""</f>
        <v/>
      </c>
      <c r="BB203" t="str">
        <f t="shared" si="253"/>
        <v>ＴＰ１３１フタナシ</v>
      </c>
      <c r="BC203" t="str">
        <f t="shared" si="254"/>
        <v xml:space="preserve"> 335.000</v>
      </c>
      <c r="BD203" t="str">
        <f t="shared" si="255"/>
        <v xml:space="preserve"> 168.000</v>
      </c>
      <c r="BE203" t="str">
        <f t="shared" si="256"/>
        <v xml:space="preserve"> 103.000</v>
      </c>
      <c r="BF203" t="str">
        <f t="shared" si="257"/>
        <v xml:space="preserve">   0.006</v>
      </c>
      <c r="BG203" t="str">
        <f>"   6.500"</f>
        <v xml:space="preserve">   6.500</v>
      </c>
      <c r="BH203" t="str">
        <f t="shared" si="221"/>
        <v>しない</v>
      </c>
      <c r="BI203" t="str">
        <f>""</f>
        <v/>
      </c>
      <c r="BJ203" t="str">
        <f t="shared" si="198"/>
        <v>MASTER01</v>
      </c>
      <c r="BK203" t="str">
        <f t="shared" si="277"/>
        <v>2022/04/19</v>
      </c>
      <c r="BL203" t="str">
        <f t="shared" si="268"/>
        <v>NE00</v>
      </c>
      <c r="BM203" t="str">
        <f t="shared" si="269"/>
        <v>１工工務Ｇ</v>
      </c>
      <c r="BN203" t="str">
        <f t="shared" si="278"/>
        <v>46548</v>
      </c>
      <c r="BO203" t="str">
        <f t="shared" si="279"/>
        <v>長畑　玲奈</v>
      </c>
    </row>
    <row r="204" spans="1:67">
      <c r="A204" t="s">
        <v>286</v>
      </c>
      <c r="B204" t="str">
        <f>""</f>
        <v/>
      </c>
      <c r="C204" t="str">
        <f>""</f>
        <v/>
      </c>
      <c r="D204" t="str">
        <f t="shared" si="270"/>
        <v>SHIM</v>
      </c>
      <c r="E204" t="str">
        <f t="shared" si="258"/>
        <v>1Y</v>
      </c>
      <c r="F204" t="str">
        <f t="shared" si="259"/>
        <v>第１工場</v>
      </c>
      <c r="G204" t="str">
        <f t="shared" si="260"/>
        <v>手配</v>
      </c>
      <c r="H204" t="str">
        <f t="shared" si="261"/>
        <v>Ｐ</v>
      </c>
      <c r="I204" t="str">
        <f t="shared" si="246"/>
        <v>6454</v>
      </c>
      <c r="J204" t="str">
        <f t="shared" si="247"/>
        <v>（株）ムロコーポレーション</v>
      </c>
      <c r="K204" t="str">
        <f t="shared" si="245"/>
        <v>01</v>
      </c>
      <c r="L204" t="str">
        <f>""</f>
        <v/>
      </c>
      <c r="M204" t="str">
        <f t="shared" si="222"/>
        <v>――</v>
      </c>
      <c r="N204" t="str">
        <f t="shared" si="215"/>
        <v>――</v>
      </c>
      <c r="O204" t="str">
        <f t="shared" si="262"/>
        <v>Ｍ</v>
      </c>
      <c r="P204" t="str">
        <f t="shared" si="263"/>
        <v>01</v>
      </c>
      <c r="Q204" t="str">
        <f t="shared" si="264"/>
        <v>第１</v>
      </c>
      <c r="R204" t="str">
        <f t="shared" si="265"/>
        <v>1Y</v>
      </c>
      <c r="S204" t="str">
        <f t="shared" si="266"/>
        <v>安城第１工場</v>
      </c>
      <c r="T204" t="str">
        <f t="shared" si="267"/>
        <v>直接</v>
      </c>
      <c r="U204" t="str">
        <f>""</f>
        <v/>
      </c>
      <c r="V204" t="str">
        <f>""</f>
        <v/>
      </c>
      <c r="W204" t="str">
        <f>""</f>
        <v/>
      </c>
      <c r="X204">
        <v>1</v>
      </c>
      <c r="Y204">
        <v>1</v>
      </c>
      <c r="Z204">
        <v>0.73</v>
      </c>
      <c r="AA204">
        <v>0.93</v>
      </c>
      <c r="AB204">
        <v>3</v>
      </c>
      <c r="AC204">
        <v>0.93</v>
      </c>
      <c r="AD204">
        <v>0.93</v>
      </c>
      <c r="AE204">
        <v>1.1000000000000001</v>
      </c>
      <c r="AF204">
        <v>0.5</v>
      </c>
      <c r="AG204" t="str">
        <f t="shared" si="248"/>
        <v>205</v>
      </c>
      <c r="AH204" t="str">
        <f t="shared" si="249"/>
        <v>（株）ムロコーポレーション</v>
      </c>
      <c r="AI204" t="str">
        <f>"216"</f>
        <v>216</v>
      </c>
      <c r="AJ204" t="str">
        <f>"S-SM-1-57"</f>
        <v>S-SM-1-57</v>
      </c>
      <c r="AK204" t="str">
        <f>"10261"</f>
        <v>10261</v>
      </c>
      <c r="AL204" t="str">
        <f t="shared" si="271"/>
        <v>0370</v>
      </c>
      <c r="AM204" t="str">
        <f t="shared" si="272"/>
        <v>ｼﾑ</v>
      </c>
      <c r="AN204" t="str">
        <f t="shared" si="250"/>
        <v>012</v>
      </c>
      <c r="AO204" t="str">
        <f t="shared" si="251"/>
        <v>TP-131 ﾊﾝﾖｳ</v>
      </c>
      <c r="AP204">
        <v>100</v>
      </c>
      <c r="AQ204" t="str">
        <f>""</f>
        <v/>
      </c>
      <c r="AR204" t="str">
        <f>""</f>
        <v/>
      </c>
      <c r="AS204" t="str">
        <f>""</f>
        <v/>
      </c>
      <c r="AT204" t="str">
        <f t="shared" si="252"/>
        <v>00</v>
      </c>
      <c r="AU204">
        <v>0.5</v>
      </c>
      <c r="AV204" t="str">
        <f>""</f>
        <v/>
      </c>
      <c r="AW204" t="str">
        <f t="shared" si="273"/>
        <v>06</v>
      </c>
      <c r="AX204" t="str">
        <f t="shared" si="274"/>
        <v>計画</v>
      </c>
      <c r="AY204" t="str">
        <f t="shared" si="275"/>
        <v>02</v>
      </c>
      <c r="AZ204" t="str">
        <f t="shared" si="276"/>
        <v>計画・２社</v>
      </c>
      <c r="BA204" t="str">
        <f>""</f>
        <v/>
      </c>
      <c r="BB204" t="str">
        <f t="shared" si="253"/>
        <v>ＴＰ１３１フタナシ</v>
      </c>
      <c r="BC204" t="str">
        <f t="shared" si="254"/>
        <v xml:space="preserve"> 335.000</v>
      </c>
      <c r="BD204" t="str">
        <f t="shared" si="255"/>
        <v xml:space="preserve"> 168.000</v>
      </c>
      <c r="BE204" t="str">
        <f t="shared" si="256"/>
        <v xml:space="preserve"> 103.000</v>
      </c>
      <c r="BF204" t="str">
        <f t="shared" si="257"/>
        <v xml:space="preserve">   0.006</v>
      </c>
      <c r="BG204" t="str">
        <f>"   6.500"</f>
        <v xml:space="preserve">   6.500</v>
      </c>
      <c r="BH204" t="str">
        <f t="shared" si="221"/>
        <v>しない</v>
      </c>
      <c r="BI204" t="str">
        <f>""</f>
        <v/>
      </c>
      <c r="BJ204" t="str">
        <f t="shared" si="198"/>
        <v>MASTER01</v>
      </c>
      <c r="BK204" t="str">
        <f t="shared" si="277"/>
        <v>2022/04/19</v>
      </c>
      <c r="BL204" t="str">
        <f t="shared" si="268"/>
        <v>NE00</v>
      </c>
      <c r="BM204" t="str">
        <f t="shared" si="269"/>
        <v>１工工務Ｇ</v>
      </c>
      <c r="BN204" t="str">
        <f t="shared" si="278"/>
        <v>46548</v>
      </c>
      <c r="BO204" t="str">
        <f t="shared" si="279"/>
        <v>長畑　玲奈</v>
      </c>
    </row>
    <row r="205" spans="1:67">
      <c r="A205" t="s">
        <v>287</v>
      </c>
      <c r="B205" t="str">
        <f>""</f>
        <v/>
      </c>
      <c r="C205" t="str">
        <f>""</f>
        <v/>
      </c>
      <c r="D205" t="str">
        <f t="shared" si="270"/>
        <v>SHIM</v>
      </c>
      <c r="E205" t="str">
        <f t="shared" si="258"/>
        <v>1Y</v>
      </c>
      <c r="F205" t="str">
        <f t="shared" si="259"/>
        <v>第１工場</v>
      </c>
      <c r="G205" t="str">
        <f t="shared" si="260"/>
        <v>手配</v>
      </c>
      <c r="H205" t="str">
        <f t="shared" si="261"/>
        <v>Ｐ</v>
      </c>
      <c r="I205" t="str">
        <f t="shared" si="246"/>
        <v>6454</v>
      </c>
      <c r="J205" t="str">
        <f t="shared" si="247"/>
        <v>（株）ムロコーポレーション</v>
      </c>
      <c r="K205" t="str">
        <f t="shared" si="245"/>
        <v>01</v>
      </c>
      <c r="L205" t="str">
        <f>""</f>
        <v/>
      </c>
      <c r="M205" t="str">
        <f t="shared" si="222"/>
        <v>――</v>
      </c>
      <c r="N205" t="str">
        <f t="shared" si="215"/>
        <v>――</v>
      </c>
      <c r="O205" t="str">
        <f t="shared" si="262"/>
        <v>Ｍ</v>
      </c>
      <c r="P205" t="str">
        <f t="shared" si="263"/>
        <v>01</v>
      </c>
      <c r="Q205" t="str">
        <f t="shared" si="264"/>
        <v>第１</v>
      </c>
      <c r="R205" t="str">
        <f t="shared" si="265"/>
        <v>1Y</v>
      </c>
      <c r="S205" t="str">
        <f t="shared" si="266"/>
        <v>安城第１工場</v>
      </c>
      <c r="T205" t="str">
        <f t="shared" si="267"/>
        <v>直接</v>
      </c>
      <c r="U205" t="str">
        <f>""</f>
        <v/>
      </c>
      <c r="V205" t="str">
        <f>""</f>
        <v/>
      </c>
      <c r="W205" t="str">
        <f>""</f>
        <v/>
      </c>
      <c r="X205">
        <v>1</v>
      </c>
      <c r="Y205">
        <v>1</v>
      </c>
      <c r="Z205">
        <v>0.73</v>
      </c>
      <c r="AA205">
        <v>0.93</v>
      </c>
      <c r="AB205">
        <v>3</v>
      </c>
      <c r="AC205">
        <v>0.93</v>
      </c>
      <c r="AD205">
        <v>0.93</v>
      </c>
      <c r="AE205">
        <v>1.1000000000000001</v>
      </c>
      <c r="AF205">
        <v>0.5</v>
      </c>
      <c r="AG205" t="str">
        <f t="shared" si="248"/>
        <v>205</v>
      </c>
      <c r="AH205" t="str">
        <f t="shared" si="249"/>
        <v>（株）ムロコーポレーション</v>
      </c>
      <c r="AI205" t="str">
        <f>"309"</f>
        <v>309</v>
      </c>
      <c r="AJ205" t="str">
        <f>""</f>
        <v/>
      </c>
      <c r="AK205" t="str">
        <f>""</f>
        <v/>
      </c>
      <c r="AL205" t="str">
        <f t="shared" si="271"/>
        <v>0370</v>
      </c>
      <c r="AM205" t="str">
        <f t="shared" si="272"/>
        <v>ｼﾑ</v>
      </c>
      <c r="AN205" t="str">
        <f t="shared" si="250"/>
        <v>012</v>
      </c>
      <c r="AO205" t="str">
        <f t="shared" si="251"/>
        <v>TP-131 ﾊﾝﾖｳ</v>
      </c>
      <c r="AP205">
        <v>100</v>
      </c>
      <c r="AQ205" t="str">
        <f>""</f>
        <v/>
      </c>
      <c r="AR205" t="str">
        <f>""</f>
        <v/>
      </c>
      <c r="AS205" t="str">
        <f>""</f>
        <v/>
      </c>
      <c r="AT205" t="str">
        <f t="shared" si="252"/>
        <v>00</v>
      </c>
      <c r="AU205">
        <v>0.5</v>
      </c>
      <c r="AV205" t="str">
        <f>""</f>
        <v/>
      </c>
      <c r="AW205" t="str">
        <f t="shared" si="273"/>
        <v>06</v>
      </c>
      <c r="AX205" t="str">
        <f t="shared" si="274"/>
        <v>計画</v>
      </c>
      <c r="AY205" t="str">
        <f t="shared" si="275"/>
        <v>02</v>
      </c>
      <c r="AZ205" t="str">
        <f t="shared" si="276"/>
        <v>計画・２社</v>
      </c>
      <c r="BA205" t="str">
        <f>""</f>
        <v/>
      </c>
      <c r="BB205" t="str">
        <f t="shared" si="253"/>
        <v>ＴＰ１３１フタナシ</v>
      </c>
      <c r="BC205" t="str">
        <f t="shared" si="254"/>
        <v xml:space="preserve"> 335.000</v>
      </c>
      <c r="BD205" t="str">
        <f t="shared" si="255"/>
        <v xml:space="preserve"> 168.000</v>
      </c>
      <c r="BE205" t="str">
        <f t="shared" si="256"/>
        <v xml:space="preserve"> 103.000</v>
      </c>
      <c r="BF205" t="str">
        <f t="shared" si="257"/>
        <v xml:space="preserve">   0.006</v>
      </c>
      <c r="BG205" t="str">
        <f t="shared" ref="BG205:BG254" si="280">"   1.410"</f>
        <v xml:space="preserve">   1.410</v>
      </c>
      <c r="BH205" t="str">
        <f t="shared" si="221"/>
        <v>しない</v>
      </c>
      <c r="BI205" t="str">
        <f>""</f>
        <v/>
      </c>
      <c r="BJ205" t="str">
        <f t="shared" si="198"/>
        <v>MASTER01</v>
      </c>
      <c r="BK205" t="str">
        <f t="shared" ref="BK205:BK254" si="281">"2023/01/17"</f>
        <v>2023/01/17</v>
      </c>
      <c r="BL205" t="str">
        <f t="shared" si="268"/>
        <v>NE00</v>
      </c>
      <c r="BM205" t="str">
        <f t="shared" si="269"/>
        <v>１工工務Ｇ</v>
      </c>
      <c r="BN205" t="str">
        <f t="shared" si="278"/>
        <v>46548</v>
      </c>
      <c r="BO205" t="str">
        <f t="shared" si="279"/>
        <v>長畑　玲奈</v>
      </c>
    </row>
    <row r="206" spans="1:67">
      <c r="A206" t="s">
        <v>288</v>
      </c>
      <c r="B206" t="str">
        <f>""</f>
        <v/>
      </c>
      <c r="C206" t="str">
        <f>""</f>
        <v/>
      </c>
      <c r="D206" t="str">
        <f t="shared" si="270"/>
        <v>SHIM</v>
      </c>
      <c r="E206" t="str">
        <f t="shared" si="258"/>
        <v>1Y</v>
      </c>
      <c r="F206" t="str">
        <f t="shared" si="259"/>
        <v>第１工場</v>
      </c>
      <c r="G206" t="str">
        <f t="shared" si="260"/>
        <v>手配</v>
      </c>
      <c r="H206" t="str">
        <f t="shared" si="261"/>
        <v>Ｐ</v>
      </c>
      <c r="I206" t="str">
        <f t="shared" si="246"/>
        <v>6454</v>
      </c>
      <c r="J206" t="str">
        <f t="shared" si="247"/>
        <v>（株）ムロコーポレーション</v>
      </c>
      <c r="K206" t="str">
        <f t="shared" si="245"/>
        <v>01</v>
      </c>
      <c r="L206" t="str">
        <f>""</f>
        <v/>
      </c>
      <c r="M206" t="str">
        <f t="shared" si="222"/>
        <v>――</v>
      </c>
      <c r="N206" t="str">
        <f t="shared" si="215"/>
        <v>――</v>
      </c>
      <c r="O206" t="str">
        <f t="shared" si="262"/>
        <v>Ｍ</v>
      </c>
      <c r="P206" t="str">
        <f t="shared" si="263"/>
        <v>01</v>
      </c>
      <c r="Q206" t="str">
        <f t="shared" si="264"/>
        <v>第１</v>
      </c>
      <c r="R206" t="str">
        <f t="shared" si="265"/>
        <v>1Y</v>
      </c>
      <c r="S206" t="str">
        <f t="shared" si="266"/>
        <v>安城第１工場</v>
      </c>
      <c r="T206" t="str">
        <f t="shared" si="267"/>
        <v>直接</v>
      </c>
      <c r="U206" t="str">
        <f>""</f>
        <v/>
      </c>
      <c r="V206" t="str">
        <f>""</f>
        <v/>
      </c>
      <c r="W206" t="str">
        <f>""</f>
        <v/>
      </c>
      <c r="X206">
        <v>1</v>
      </c>
      <c r="Y206">
        <v>1</v>
      </c>
      <c r="Z206">
        <v>0.73</v>
      </c>
      <c r="AA206">
        <v>0.93</v>
      </c>
      <c r="AB206">
        <v>3</v>
      </c>
      <c r="AC206">
        <v>0.93</v>
      </c>
      <c r="AD206">
        <v>0.93</v>
      </c>
      <c r="AE206">
        <v>1.1000000000000001</v>
      </c>
      <c r="AF206">
        <v>0.5</v>
      </c>
      <c r="AG206" t="str">
        <f t="shared" si="248"/>
        <v>205</v>
      </c>
      <c r="AH206" t="str">
        <f t="shared" si="249"/>
        <v>（株）ムロコーポレーション</v>
      </c>
      <c r="AI206" t="str">
        <f>"001"</f>
        <v>001</v>
      </c>
      <c r="AJ206" t="str">
        <f>""</f>
        <v/>
      </c>
      <c r="AK206" t="str">
        <f>""</f>
        <v/>
      </c>
      <c r="AL206" t="str">
        <f t="shared" si="271"/>
        <v>0370</v>
      </c>
      <c r="AM206" t="str">
        <f t="shared" si="272"/>
        <v>ｼﾑ</v>
      </c>
      <c r="AN206" t="str">
        <f t="shared" si="250"/>
        <v>012</v>
      </c>
      <c r="AO206" t="str">
        <f t="shared" si="251"/>
        <v>TP-131 ﾊﾝﾖｳ</v>
      </c>
      <c r="AP206">
        <v>100</v>
      </c>
      <c r="AQ206" t="str">
        <f>""</f>
        <v/>
      </c>
      <c r="AR206" t="str">
        <f>""</f>
        <v/>
      </c>
      <c r="AS206" t="str">
        <f>""</f>
        <v/>
      </c>
      <c r="AT206" t="str">
        <f t="shared" si="252"/>
        <v>00</v>
      </c>
      <c r="AU206">
        <v>0.5</v>
      </c>
      <c r="AV206" t="str">
        <f>""</f>
        <v/>
      </c>
      <c r="AW206" t="str">
        <f t="shared" si="273"/>
        <v>06</v>
      </c>
      <c r="AX206" t="str">
        <f t="shared" si="274"/>
        <v>計画</v>
      </c>
      <c r="AY206" t="str">
        <f t="shared" si="275"/>
        <v>02</v>
      </c>
      <c r="AZ206" t="str">
        <f t="shared" si="276"/>
        <v>計画・２社</v>
      </c>
      <c r="BA206" t="str">
        <f>""</f>
        <v/>
      </c>
      <c r="BB206" t="str">
        <f t="shared" si="253"/>
        <v>ＴＰ１３１フタナシ</v>
      </c>
      <c r="BC206" t="str">
        <f t="shared" si="254"/>
        <v xml:space="preserve"> 335.000</v>
      </c>
      <c r="BD206" t="str">
        <f t="shared" si="255"/>
        <v xml:space="preserve"> 168.000</v>
      </c>
      <c r="BE206" t="str">
        <f t="shared" si="256"/>
        <v xml:space="preserve"> 103.000</v>
      </c>
      <c r="BF206" t="str">
        <f t="shared" si="257"/>
        <v xml:space="preserve">   0.006</v>
      </c>
      <c r="BG206" t="str">
        <f t="shared" si="280"/>
        <v xml:space="preserve">   1.410</v>
      </c>
      <c r="BH206" t="str">
        <f t="shared" si="221"/>
        <v>しない</v>
      </c>
      <c r="BI206" t="str">
        <f>""</f>
        <v/>
      </c>
      <c r="BJ206" t="str">
        <f t="shared" si="198"/>
        <v>MASTER01</v>
      </c>
      <c r="BK206" t="str">
        <f t="shared" si="281"/>
        <v>2023/01/17</v>
      </c>
      <c r="BL206" t="str">
        <f t="shared" si="268"/>
        <v>NE00</v>
      </c>
      <c r="BM206" t="str">
        <f t="shared" si="269"/>
        <v>１工工務Ｇ</v>
      </c>
      <c r="BN206" t="str">
        <f t="shared" si="278"/>
        <v>46548</v>
      </c>
      <c r="BO206" t="str">
        <f t="shared" si="279"/>
        <v>長畑　玲奈</v>
      </c>
    </row>
    <row r="207" spans="1:67">
      <c r="A207" t="s">
        <v>289</v>
      </c>
      <c r="B207" t="str">
        <f>""</f>
        <v/>
      </c>
      <c r="C207" t="str">
        <f>""</f>
        <v/>
      </c>
      <c r="D207" t="str">
        <f t="shared" si="270"/>
        <v>SHIM</v>
      </c>
      <c r="E207" t="str">
        <f t="shared" si="258"/>
        <v>1Y</v>
      </c>
      <c r="F207" t="str">
        <f t="shared" si="259"/>
        <v>第１工場</v>
      </c>
      <c r="G207" t="str">
        <f t="shared" si="260"/>
        <v>手配</v>
      </c>
      <c r="H207" t="str">
        <f t="shared" si="261"/>
        <v>Ｐ</v>
      </c>
      <c r="I207" t="str">
        <f t="shared" si="246"/>
        <v>6454</v>
      </c>
      <c r="J207" t="str">
        <f t="shared" si="247"/>
        <v>（株）ムロコーポレーション</v>
      </c>
      <c r="K207" t="str">
        <f t="shared" si="245"/>
        <v>01</v>
      </c>
      <c r="L207" t="str">
        <f>""</f>
        <v/>
      </c>
      <c r="M207" t="str">
        <f t="shared" si="222"/>
        <v>――</v>
      </c>
      <c r="N207" t="str">
        <f t="shared" si="215"/>
        <v>――</v>
      </c>
      <c r="O207" t="str">
        <f t="shared" si="262"/>
        <v>Ｍ</v>
      </c>
      <c r="P207" t="str">
        <f t="shared" si="263"/>
        <v>01</v>
      </c>
      <c r="Q207" t="str">
        <f t="shared" si="264"/>
        <v>第１</v>
      </c>
      <c r="R207" t="str">
        <f t="shared" si="265"/>
        <v>1Y</v>
      </c>
      <c r="S207" t="str">
        <f t="shared" si="266"/>
        <v>安城第１工場</v>
      </c>
      <c r="T207" t="str">
        <f t="shared" si="267"/>
        <v>直接</v>
      </c>
      <c r="U207" t="str">
        <f>""</f>
        <v/>
      </c>
      <c r="V207" t="str">
        <f>""</f>
        <v/>
      </c>
      <c r="W207" t="str">
        <f>""</f>
        <v/>
      </c>
      <c r="X207">
        <v>1</v>
      </c>
      <c r="Y207">
        <v>1</v>
      </c>
      <c r="Z207">
        <v>0.73</v>
      </c>
      <c r="AA207">
        <v>0.93</v>
      </c>
      <c r="AB207">
        <v>3</v>
      </c>
      <c r="AC207">
        <v>0.93</v>
      </c>
      <c r="AD207">
        <v>0.93</v>
      </c>
      <c r="AE207">
        <v>1.1000000000000001</v>
      </c>
      <c r="AF207">
        <v>0.5</v>
      </c>
      <c r="AG207" t="str">
        <f t="shared" si="248"/>
        <v>205</v>
      </c>
      <c r="AH207" t="str">
        <f t="shared" si="249"/>
        <v>（株）ムロコーポレーション</v>
      </c>
      <c r="AI207" t="str">
        <f>"002"</f>
        <v>002</v>
      </c>
      <c r="AJ207" t="str">
        <f>""</f>
        <v/>
      </c>
      <c r="AK207" t="str">
        <f>""</f>
        <v/>
      </c>
      <c r="AL207" t="str">
        <f t="shared" si="271"/>
        <v>0370</v>
      </c>
      <c r="AM207" t="str">
        <f t="shared" si="272"/>
        <v>ｼﾑ</v>
      </c>
      <c r="AN207" t="str">
        <f t="shared" si="250"/>
        <v>012</v>
      </c>
      <c r="AO207" t="str">
        <f t="shared" si="251"/>
        <v>TP-131 ﾊﾝﾖｳ</v>
      </c>
      <c r="AP207">
        <v>100</v>
      </c>
      <c r="AQ207" t="str">
        <f>""</f>
        <v/>
      </c>
      <c r="AR207" t="str">
        <f>""</f>
        <v/>
      </c>
      <c r="AS207" t="str">
        <f>""</f>
        <v/>
      </c>
      <c r="AT207" t="str">
        <f t="shared" si="252"/>
        <v>00</v>
      </c>
      <c r="AU207">
        <v>0.5</v>
      </c>
      <c r="AV207" t="str">
        <f>""</f>
        <v/>
      </c>
      <c r="AW207" t="str">
        <f t="shared" si="273"/>
        <v>06</v>
      </c>
      <c r="AX207" t="str">
        <f t="shared" si="274"/>
        <v>計画</v>
      </c>
      <c r="AY207" t="str">
        <f t="shared" si="275"/>
        <v>02</v>
      </c>
      <c r="AZ207" t="str">
        <f t="shared" si="276"/>
        <v>計画・２社</v>
      </c>
      <c r="BA207" t="str">
        <f>""</f>
        <v/>
      </c>
      <c r="BB207" t="str">
        <f t="shared" si="253"/>
        <v>ＴＰ１３１フタナシ</v>
      </c>
      <c r="BC207" t="str">
        <f t="shared" si="254"/>
        <v xml:space="preserve"> 335.000</v>
      </c>
      <c r="BD207" t="str">
        <f t="shared" si="255"/>
        <v xml:space="preserve"> 168.000</v>
      </c>
      <c r="BE207" t="str">
        <f t="shared" si="256"/>
        <v xml:space="preserve"> 103.000</v>
      </c>
      <c r="BF207" t="str">
        <f t="shared" si="257"/>
        <v xml:space="preserve">   0.006</v>
      </c>
      <c r="BG207" t="str">
        <f t="shared" si="280"/>
        <v xml:space="preserve">   1.410</v>
      </c>
      <c r="BH207" t="str">
        <f t="shared" si="221"/>
        <v>しない</v>
      </c>
      <c r="BI207" t="str">
        <f>""</f>
        <v/>
      </c>
      <c r="BJ207" t="str">
        <f t="shared" si="198"/>
        <v>MASTER01</v>
      </c>
      <c r="BK207" t="str">
        <f t="shared" si="281"/>
        <v>2023/01/17</v>
      </c>
      <c r="BL207" t="str">
        <f t="shared" si="268"/>
        <v>NE00</v>
      </c>
      <c r="BM207" t="str">
        <f t="shared" si="269"/>
        <v>１工工務Ｇ</v>
      </c>
      <c r="BN207" t="str">
        <f t="shared" si="278"/>
        <v>46548</v>
      </c>
      <c r="BO207" t="str">
        <f t="shared" si="279"/>
        <v>長畑　玲奈</v>
      </c>
    </row>
    <row r="208" spans="1:67">
      <c r="A208" t="s">
        <v>290</v>
      </c>
      <c r="B208" t="str">
        <f>""</f>
        <v/>
      </c>
      <c r="C208" t="str">
        <f>""</f>
        <v/>
      </c>
      <c r="D208" t="str">
        <f t="shared" si="270"/>
        <v>SHIM</v>
      </c>
      <c r="E208" t="str">
        <f t="shared" si="258"/>
        <v>1Y</v>
      </c>
      <c r="F208" t="str">
        <f t="shared" si="259"/>
        <v>第１工場</v>
      </c>
      <c r="G208" t="str">
        <f t="shared" si="260"/>
        <v>手配</v>
      </c>
      <c r="H208" t="str">
        <f t="shared" si="261"/>
        <v>Ｐ</v>
      </c>
      <c r="I208" t="str">
        <f t="shared" si="246"/>
        <v>6454</v>
      </c>
      <c r="J208" t="str">
        <f t="shared" si="247"/>
        <v>（株）ムロコーポレーション</v>
      </c>
      <c r="K208" t="str">
        <f t="shared" si="245"/>
        <v>01</v>
      </c>
      <c r="L208" t="str">
        <f>""</f>
        <v/>
      </c>
      <c r="M208" t="str">
        <f t="shared" si="222"/>
        <v>――</v>
      </c>
      <c r="N208" t="str">
        <f t="shared" si="215"/>
        <v>――</v>
      </c>
      <c r="O208" t="str">
        <f t="shared" si="262"/>
        <v>Ｍ</v>
      </c>
      <c r="P208" t="str">
        <f t="shared" si="263"/>
        <v>01</v>
      </c>
      <c r="Q208" t="str">
        <f t="shared" si="264"/>
        <v>第１</v>
      </c>
      <c r="R208" t="str">
        <f t="shared" si="265"/>
        <v>1Y</v>
      </c>
      <c r="S208" t="str">
        <f t="shared" si="266"/>
        <v>安城第１工場</v>
      </c>
      <c r="T208" t="str">
        <f t="shared" si="267"/>
        <v>直接</v>
      </c>
      <c r="U208" t="str">
        <f>""</f>
        <v/>
      </c>
      <c r="V208" t="str">
        <f>""</f>
        <v/>
      </c>
      <c r="W208" t="str">
        <f>""</f>
        <v/>
      </c>
      <c r="X208">
        <v>1</v>
      </c>
      <c r="Y208">
        <v>1</v>
      </c>
      <c r="Z208">
        <v>0.73</v>
      </c>
      <c r="AA208">
        <v>0.93</v>
      </c>
      <c r="AB208">
        <v>3</v>
      </c>
      <c r="AC208">
        <v>0.93</v>
      </c>
      <c r="AD208">
        <v>0.93</v>
      </c>
      <c r="AE208">
        <v>1.1000000000000001</v>
      </c>
      <c r="AF208">
        <v>0.5</v>
      </c>
      <c r="AG208" t="str">
        <f t="shared" si="248"/>
        <v>205</v>
      </c>
      <c r="AH208" t="str">
        <f t="shared" si="249"/>
        <v>（株）ムロコーポレーション</v>
      </c>
      <c r="AI208" t="str">
        <f>"003"</f>
        <v>003</v>
      </c>
      <c r="AJ208" t="str">
        <f>""</f>
        <v/>
      </c>
      <c r="AK208" t="str">
        <f>""</f>
        <v/>
      </c>
      <c r="AL208" t="str">
        <f t="shared" si="271"/>
        <v>0370</v>
      </c>
      <c r="AM208" t="str">
        <f t="shared" si="272"/>
        <v>ｼﾑ</v>
      </c>
      <c r="AN208" t="str">
        <f t="shared" si="250"/>
        <v>012</v>
      </c>
      <c r="AO208" t="str">
        <f t="shared" si="251"/>
        <v>TP-131 ﾊﾝﾖｳ</v>
      </c>
      <c r="AP208">
        <v>100</v>
      </c>
      <c r="AQ208" t="str">
        <f>""</f>
        <v/>
      </c>
      <c r="AR208" t="str">
        <f>""</f>
        <v/>
      </c>
      <c r="AS208" t="str">
        <f>""</f>
        <v/>
      </c>
      <c r="AT208" t="str">
        <f t="shared" si="252"/>
        <v>00</v>
      </c>
      <c r="AU208">
        <v>0.5</v>
      </c>
      <c r="AV208" t="str">
        <f>""</f>
        <v/>
      </c>
      <c r="AW208" t="str">
        <f t="shared" si="273"/>
        <v>06</v>
      </c>
      <c r="AX208" t="str">
        <f t="shared" si="274"/>
        <v>計画</v>
      </c>
      <c r="AY208" t="str">
        <f t="shared" si="275"/>
        <v>02</v>
      </c>
      <c r="AZ208" t="str">
        <f t="shared" si="276"/>
        <v>計画・２社</v>
      </c>
      <c r="BA208" t="str">
        <f>""</f>
        <v/>
      </c>
      <c r="BB208" t="str">
        <f t="shared" si="253"/>
        <v>ＴＰ１３１フタナシ</v>
      </c>
      <c r="BC208" t="str">
        <f t="shared" si="254"/>
        <v xml:space="preserve"> 335.000</v>
      </c>
      <c r="BD208" t="str">
        <f t="shared" si="255"/>
        <v xml:space="preserve"> 168.000</v>
      </c>
      <c r="BE208" t="str">
        <f t="shared" si="256"/>
        <v xml:space="preserve"> 103.000</v>
      </c>
      <c r="BF208" t="str">
        <f t="shared" si="257"/>
        <v xml:space="preserve">   0.006</v>
      </c>
      <c r="BG208" t="str">
        <f t="shared" si="280"/>
        <v xml:space="preserve">   1.410</v>
      </c>
      <c r="BH208" t="str">
        <f t="shared" si="221"/>
        <v>しない</v>
      </c>
      <c r="BI208" t="str">
        <f>""</f>
        <v/>
      </c>
      <c r="BJ208" t="str">
        <f t="shared" si="198"/>
        <v>MASTER01</v>
      </c>
      <c r="BK208" t="str">
        <f t="shared" si="281"/>
        <v>2023/01/17</v>
      </c>
      <c r="BL208" t="str">
        <f t="shared" si="268"/>
        <v>NE00</v>
      </c>
      <c r="BM208" t="str">
        <f t="shared" si="269"/>
        <v>１工工務Ｇ</v>
      </c>
      <c r="BN208" t="str">
        <f t="shared" si="278"/>
        <v>46548</v>
      </c>
      <c r="BO208" t="str">
        <f t="shared" si="279"/>
        <v>長畑　玲奈</v>
      </c>
    </row>
    <row r="209" spans="1:67">
      <c r="A209" t="s">
        <v>291</v>
      </c>
      <c r="B209" t="str">
        <f>""</f>
        <v/>
      </c>
      <c r="C209" t="str">
        <f>""</f>
        <v/>
      </c>
      <c r="D209" t="str">
        <f t="shared" si="270"/>
        <v>SHIM</v>
      </c>
      <c r="E209" t="str">
        <f t="shared" si="258"/>
        <v>1Y</v>
      </c>
      <c r="F209" t="str">
        <f t="shared" si="259"/>
        <v>第１工場</v>
      </c>
      <c r="G209" t="str">
        <f t="shared" si="260"/>
        <v>手配</v>
      </c>
      <c r="H209" t="str">
        <f t="shared" si="261"/>
        <v>Ｐ</v>
      </c>
      <c r="I209" t="str">
        <f t="shared" si="246"/>
        <v>6454</v>
      </c>
      <c r="J209" t="str">
        <f t="shared" si="247"/>
        <v>（株）ムロコーポレーション</v>
      </c>
      <c r="K209" t="str">
        <f t="shared" si="245"/>
        <v>01</v>
      </c>
      <c r="L209" t="str">
        <f>""</f>
        <v/>
      </c>
      <c r="M209" t="str">
        <f t="shared" si="222"/>
        <v>――</v>
      </c>
      <c r="N209" t="str">
        <f t="shared" si="215"/>
        <v>――</v>
      </c>
      <c r="O209" t="str">
        <f t="shared" si="262"/>
        <v>Ｍ</v>
      </c>
      <c r="P209" t="str">
        <f t="shared" si="263"/>
        <v>01</v>
      </c>
      <c r="Q209" t="str">
        <f t="shared" si="264"/>
        <v>第１</v>
      </c>
      <c r="R209" t="str">
        <f t="shared" si="265"/>
        <v>1Y</v>
      </c>
      <c r="S209" t="str">
        <f t="shared" si="266"/>
        <v>安城第１工場</v>
      </c>
      <c r="T209" t="str">
        <f t="shared" si="267"/>
        <v>直接</v>
      </c>
      <c r="U209" t="str">
        <f>""</f>
        <v/>
      </c>
      <c r="V209" t="str">
        <f>""</f>
        <v/>
      </c>
      <c r="W209" t="str">
        <f>""</f>
        <v/>
      </c>
      <c r="X209">
        <v>1</v>
      </c>
      <c r="Y209">
        <v>1</v>
      </c>
      <c r="Z209">
        <v>0.73</v>
      </c>
      <c r="AA209">
        <v>0.93</v>
      </c>
      <c r="AB209">
        <v>3</v>
      </c>
      <c r="AC209">
        <v>0.93</v>
      </c>
      <c r="AD209">
        <v>0.93</v>
      </c>
      <c r="AE209">
        <v>1.1000000000000001</v>
      </c>
      <c r="AF209">
        <v>0.5</v>
      </c>
      <c r="AG209" t="str">
        <f t="shared" si="248"/>
        <v>205</v>
      </c>
      <c r="AH209" t="str">
        <f t="shared" si="249"/>
        <v>（株）ムロコーポレーション</v>
      </c>
      <c r="AI209" t="str">
        <f>"004"</f>
        <v>004</v>
      </c>
      <c r="AJ209" t="str">
        <f>""</f>
        <v/>
      </c>
      <c r="AK209" t="str">
        <f>""</f>
        <v/>
      </c>
      <c r="AL209" t="str">
        <f t="shared" si="271"/>
        <v>0370</v>
      </c>
      <c r="AM209" t="str">
        <f t="shared" si="272"/>
        <v>ｼﾑ</v>
      </c>
      <c r="AN209" t="str">
        <f t="shared" si="250"/>
        <v>012</v>
      </c>
      <c r="AO209" t="str">
        <f t="shared" si="251"/>
        <v>TP-131 ﾊﾝﾖｳ</v>
      </c>
      <c r="AP209">
        <v>100</v>
      </c>
      <c r="AQ209" t="str">
        <f>""</f>
        <v/>
      </c>
      <c r="AR209" t="str">
        <f>""</f>
        <v/>
      </c>
      <c r="AS209" t="str">
        <f>""</f>
        <v/>
      </c>
      <c r="AT209" t="str">
        <f t="shared" si="252"/>
        <v>00</v>
      </c>
      <c r="AU209">
        <v>0.5</v>
      </c>
      <c r="AV209" t="str">
        <f>""</f>
        <v/>
      </c>
      <c r="AW209" t="str">
        <f t="shared" si="273"/>
        <v>06</v>
      </c>
      <c r="AX209" t="str">
        <f t="shared" si="274"/>
        <v>計画</v>
      </c>
      <c r="AY209" t="str">
        <f t="shared" si="275"/>
        <v>02</v>
      </c>
      <c r="AZ209" t="str">
        <f t="shared" si="276"/>
        <v>計画・２社</v>
      </c>
      <c r="BA209" t="str">
        <f>""</f>
        <v/>
      </c>
      <c r="BB209" t="str">
        <f t="shared" si="253"/>
        <v>ＴＰ１３１フタナシ</v>
      </c>
      <c r="BC209" t="str">
        <f t="shared" si="254"/>
        <v xml:space="preserve"> 335.000</v>
      </c>
      <c r="BD209" t="str">
        <f t="shared" si="255"/>
        <v xml:space="preserve"> 168.000</v>
      </c>
      <c r="BE209" t="str">
        <f t="shared" si="256"/>
        <v xml:space="preserve"> 103.000</v>
      </c>
      <c r="BF209" t="str">
        <f t="shared" si="257"/>
        <v xml:space="preserve">   0.006</v>
      </c>
      <c r="BG209" t="str">
        <f t="shared" si="280"/>
        <v xml:space="preserve">   1.410</v>
      </c>
      <c r="BH209" t="str">
        <f t="shared" si="221"/>
        <v>しない</v>
      </c>
      <c r="BI209" t="str">
        <f>""</f>
        <v/>
      </c>
      <c r="BJ209" t="str">
        <f t="shared" si="198"/>
        <v>MASTER01</v>
      </c>
      <c r="BK209" t="str">
        <f t="shared" si="281"/>
        <v>2023/01/17</v>
      </c>
      <c r="BL209" t="str">
        <f t="shared" si="268"/>
        <v>NE00</v>
      </c>
      <c r="BM209" t="str">
        <f t="shared" si="269"/>
        <v>１工工務Ｇ</v>
      </c>
      <c r="BN209" t="str">
        <f t="shared" si="278"/>
        <v>46548</v>
      </c>
      <c r="BO209" t="str">
        <f t="shared" si="279"/>
        <v>長畑　玲奈</v>
      </c>
    </row>
    <row r="210" spans="1:67">
      <c r="A210" t="s">
        <v>292</v>
      </c>
      <c r="B210" t="str">
        <f>""</f>
        <v/>
      </c>
      <c r="C210" t="str">
        <f>""</f>
        <v/>
      </c>
      <c r="D210" t="str">
        <f t="shared" si="270"/>
        <v>SHIM</v>
      </c>
      <c r="E210" t="str">
        <f t="shared" si="258"/>
        <v>1Y</v>
      </c>
      <c r="F210" t="str">
        <f t="shared" si="259"/>
        <v>第１工場</v>
      </c>
      <c r="G210" t="str">
        <f t="shared" si="260"/>
        <v>手配</v>
      </c>
      <c r="H210" t="str">
        <f t="shared" si="261"/>
        <v>Ｐ</v>
      </c>
      <c r="I210" t="str">
        <f t="shared" si="246"/>
        <v>6454</v>
      </c>
      <c r="J210" t="str">
        <f t="shared" si="247"/>
        <v>（株）ムロコーポレーション</v>
      </c>
      <c r="K210" t="str">
        <f t="shared" si="245"/>
        <v>01</v>
      </c>
      <c r="L210" t="str">
        <f>""</f>
        <v/>
      </c>
      <c r="M210" t="str">
        <f t="shared" si="222"/>
        <v>――</v>
      </c>
      <c r="N210" t="str">
        <f t="shared" si="215"/>
        <v>――</v>
      </c>
      <c r="O210" t="str">
        <f t="shared" si="262"/>
        <v>Ｍ</v>
      </c>
      <c r="P210" t="str">
        <f t="shared" si="263"/>
        <v>01</v>
      </c>
      <c r="Q210" t="str">
        <f t="shared" si="264"/>
        <v>第１</v>
      </c>
      <c r="R210" t="str">
        <f t="shared" si="265"/>
        <v>1Y</v>
      </c>
      <c r="S210" t="str">
        <f t="shared" si="266"/>
        <v>安城第１工場</v>
      </c>
      <c r="T210" t="str">
        <f t="shared" si="267"/>
        <v>直接</v>
      </c>
      <c r="U210" t="str">
        <f>""</f>
        <v/>
      </c>
      <c r="V210" t="str">
        <f>""</f>
        <v/>
      </c>
      <c r="W210" t="str">
        <f>""</f>
        <v/>
      </c>
      <c r="X210">
        <v>1</v>
      </c>
      <c r="Y210">
        <v>1</v>
      </c>
      <c r="Z210">
        <v>0.73</v>
      </c>
      <c r="AA210">
        <v>0.93</v>
      </c>
      <c r="AB210">
        <v>3</v>
      </c>
      <c r="AC210">
        <v>0.93</v>
      </c>
      <c r="AD210">
        <v>0.93</v>
      </c>
      <c r="AE210">
        <v>1.1000000000000001</v>
      </c>
      <c r="AF210">
        <v>0.5</v>
      </c>
      <c r="AG210" t="str">
        <f t="shared" si="248"/>
        <v>205</v>
      </c>
      <c r="AH210" t="str">
        <f t="shared" si="249"/>
        <v>（株）ムロコーポレーション</v>
      </c>
      <c r="AI210" t="str">
        <f>"005"</f>
        <v>005</v>
      </c>
      <c r="AJ210" t="str">
        <f>""</f>
        <v/>
      </c>
      <c r="AK210" t="str">
        <f>""</f>
        <v/>
      </c>
      <c r="AL210" t="str">
        <f t="shared" si="271"/>
        <v>0370</v>
      </c>
      <c r="AM210" t="str">
        <f t="shared" si="272"/>
        <v>ｼﾑ</v>
      </c>
      <c r="AN210" t="str">
        <f t="shared" si="250"/>
        <v>012</v>
      </c>
      <c r="AO210" t="str">
        <f t="shared" si="251"/>
        <v>TP-131 ﾊﾝﾖｳ</v>
      </c>
      <c r="AP210">
        <v>100</v>
      </c>
      <c r="AQ210" t="str">
        <f>""</f>
        <v/>
      </c>
      <c r="AR210" t="str">
        <f>""</f>
        <v/>
      </c>
      <c r="AS210" t="str">
        <f>""</f>
        <v/>
      </c>
      <c r="AT210" t="str">
        <f t="shared" si="252"/>
        <v>00</v>
      </c>
      <c r="AU210">
        <v>0.5</v>
      </c>
      <c r="AV210" t="str">
        <f>""</f>
        <v/>
      </c>
      <c r="AW210" t="str">
        <f t="shared" si="273"/>
        <v>06</v>
      </c>
      <c r="AX210" t="str">
        <f t="shared" si="274"/>
        <v>計画</v>
      </c>
      <c r="AY210" t="str">
        <f t="shared" si="275"/>
        <v>02</v>
      </c>
      <c r="AZ210" t="str">
        <f t="shared" si="276"/>
        <v>計画・２社</v>
      </c>
      <c r="BA210" t="str">
        <f>""</f>
        <v/>
      </c>
      <c r="BB210" t="str">
        <f t="shared" si="253"/>
        <v>ＴＰ１３１フタナシ</v>
      </c>
      <c r="BC210" t="str">
        <f t="shared" si="254"/>
        <v xml:space="preserve"> 335.000</v>
      </c>
      <c r="BD210" t="str">
        <f t="shared" si="255"/>
        <v xml:space="preserve"> 168.000</v>
      </c>
      <c r="BE210" t="str">
        <f t="shared" si="256"/>
        <v xml:space="preserve"> 103.000</v>
      </c>
      <c r="BF210" t="str">
        <f t="shared" si="257"/>
        <v xml:space="preserve">   0.006</v>
      </c>
      <c r="BG210" t="str">
        <f t="shared" si="280"/>
        <v xml:space="preserve">   1.410</v>
      </c>
      <c r="BH210" t="str">
        <f t="shared" si="221"/>
        <v>しない</v>
      </c>
      <c r="BI210" t="str">
        <f>""</f>
        <v/>
      </c>
      <c r="BJ210" t="str">
        <f t="shared" si="198"/>
        <v>MASTER01</v>
      </c>
      <c r="BK210" t="str">
        <f t="shared" si="281"/>
        <v>2023/01/17</v>
      </c>
      <c r="BL210" t="str">
        <f t="shared" si="268"/>
        <v>NE00</v>
      </c>
      <c r="BM210" t="str">
        <f t="shared" si="269"/>
        <v>１工工務Ｇ</v>
      </c>
      <c r="BN210" t="str">
        <f t="shared" si="278"/>
        <v>46548</v>
      </c>
      <c r="BO210" t="str">
        <f t="shared" si="279"/>
        <v>長畑　玲奈</v>
      </c>
    </row>
    <row r="211" spans="1:67">
      <c r="A211" t="s">
        <v>293</v>
      </c>
      <c r="B211" t="str">
        <f>""</f>
        <v/>
      </c>
      <c r="C211" t="str">
        <f>""</f>
        <v/>
      </c>
      <c r="D211" t="str">
        <f t="shared" si="270"/>
        <v>SHIM</v>
      </c>
      <c r="E211" t="str">
        <f t="shared" si="258"/>
        <v>1Y</v>
      </c>
      <c r="F211" t="str">
        <f t="shared" si="259"/>
        <v>第１工場</v>
      </c>
      <c r="G211" t="str">
        <f t="shared" si="260"/>
        <v>手配</v>
      </c>
      <c r="H211" t="str">
        <f t="shared" si="261"/>
        <v>Ｐ</v>
      </c>
      <c r="I211" t="str">
        <f t="shared" si="246"/>
        <v>6454</v>
      </c>
      <c r="J211" t="str">
        <f t="shared" si="247"/>
        <v>（株）ムロコーポレーション</v>
      </c>
      <c r="K211" t="str">
        <f t="shared" si="245"/>
        <v>01</v>
      </c>
      <c r="L211" t="str">
        <f>""</f>
        <v/>
      </c>
      <c r="M211" t="str">
        <f t="shared" si="222"/>
        <v>――</v>
      </c>
      <c r="N211" t="str">
        <f t="shared" si="215"/>
        <v>――</v>
      </c>
      <c r="O211" t="str">
        <f t="shared" si="262"/>
        <v>Ｍ</v>
      </c>
      <c r="P211" t="str">
        <f t="shared" si="263"/>
        <v>01</v>
      </c>
      <c r="Q211" t="str">
        <f t="shared" si="264"/>
        <v>第１</v>
      </c>
      <c r="R211" t="str">
        <f t="shared" si="265"/>
        <v>1Y</v>
      </c>
      <c r="S211" t="str">
        <f t="shared" si="266"/>
        <v>安城第１工場</v>
      </c>
      <c r="T211" t="str">
        <f t="shared" si="267"/>
        <v>直接</v>
      </c>
      <c r="U211" t="str">
        <f>""</f>
        <v/>
      </c>
      <c r="V211" t="str">
        <f>""</f>
        <v/>
      </c>
      <c r="W211" t="str">
        <f>""</f>
        <v/>
      </c>
      <c r="X211">
        <v>1</v>
      </c>
      <c r="Y211">
        <v>1</v>
      </c>
      <c r="Z211">
        <v>0.73</v>
      </c>
      <c r="AA211">
        <v>0.93</v>
      </c>
      <c r="AB211">
        <v>3</v>
      </c>
      <c r="AC211">
        <v>0.93</v>
      </c>
      <c r="AD211">
        <v>0.93</v>
      </c>
      <c r="AE211">
        <v>1.1000000000000001</v>
      </c>
      <c r="AF211">
        <v>0.5</v>
      </c>
      <c r="AG211" t="str">
        <f t="shared" si="248"/>
        <v>205</v>
      </c>
      <c r="AH211" t="str">
        <f t="shared" si="249"/>
        <v>（株）ムロコーポレーション</v>
      </c>
      <c r="AI211" t="str">
        <f>"006"</f>
        <v>006</v>
      </c>
      <c r="AJ211" t="str">
        <f>""</f>
        <v/>
      </c>
      <c r="AK211" t="str">
        <f>""</f>
        <v/>
      </c>
      <c r="AL211" t="str">
        <f t="shared" si="271"/>
        <v>0370</v>
      </c>
      <c r="AM211" t="str">
        <f t="shared" si="272"/>
        <v>ｼﾑ</v>
      </c>
      <c r="AN211" t="str">
        <f t="shared" si="250"/>
        <v>012</v>
      </c>
      <c r="AO211" t="str">
        <f t="shared" si="251"/>
        <v>TP-131 ﾊﾝﾖｳ</v>
      </c>
      <c r="AP211">
        <v>100</v>
      </c>
      <c r="AQ211" t="str">
        <f>""</f>
        <v/>
      </c>
      <c r="AR211" t="str">
        <f>""</f>
        <v/>
      </c>
      <c r="AS211" t="str">
        <f>""</f>
        <v/>
      </c>
      <c r="AT211" t="str">
        <f t="shared" si="252"/>
        <v>00</v>
      </c>
      <c r="AU211">
        <v>0.5</v>
      </c>
      <c r="AV211" t="str">
        <f>""</f>
        <v/>
      </c>
      <c r="AW211" t="str">
        <f t="shared" si="273"/>
        <v>06</v>
      </c>
      <c r="AX211" t="str">
        <f t="shared" si="274"/>
        <v>計画</v>
      </c>
      <c r="AY211" t="str">
        <f t="shared" si="275"/>
        <v>02</v>
      </c>
      <c r="AZ211" t="str">
        <f t="shared" si="276"/>
        <v>計画・２社</v>
      </c>
      <c r="BA211" t="str">
        <f>""</f>
        <v/>
      </c>
      <c r="BB211" t="str">
        <f t="shared" si="253"/>
        <v>ＴＰ１３１フタナシ</v>
      </c>
      <c r="BC211" t="str">
        <f t="shared" si="254"/>
        <v xml:space="preserve"> 335.000</v>
      </c>
      <c r="BD211" t="str">
        <f t="shared" si="255"/>
        <v xml:space="preserve"> 168.000</v>
      </c>
      <c r="BE211" t="str">
        <f t="shared" si="256"/>
        <v xml:space="preserve"> 103.000</v>
      </c>
      <c r="BF211" t="str">
        <f t="shared" si="257"/>
        <v xml:space="preserve">   0.006</v>
      </c>
      <c r="BG211" t="str">
        <f t="shared" si="280"/>
        <v xml:space="preserve">   1.410</v>
      </c>
      <c r="BH211" t="str">
        <f t="shared" si="221"/>
        <v>しない</v>
      </c>
      <c r="BI211" t="str">
        <f>""</f>
        <v/>
      </c>
      <c r="BJ211" t="str">
        <f t="shared" ref="BJ211:BJ274" si="282">"MASTER01"</f>
        <v>MASTER01</v>
      </c>
      <c r="BK211" t="str">
        <f t="shared" si="281"/>
        <v>2023/01/17</v>
      </c>
      <c r="BL211" t="str">
        <f t="shared" si="268"/>
        <v>NE00</v>
      </c>
      <c r="BM211" t="str">
        <f t="shared" si="269"/>
        <v>１工工務Ｇ</v>
      </c>
      <c r="BN211" t="str">
        <f t="shared" si="278"/>
        <v>46548</v>
      </c>
      <c r="BO211" t="str">
        <f t="shared" si="279"/>
        <v>長畑　玲奈</v>
      </c>
    </row>
    <row r="212" spans="1:67">
      <c r="A212" t="s">
        <v>294</v>
      </c>
      <c r="B212" t="str">
        <f>""</f>
        <v/>
      </c>
      <c r="C212" t="str">
        <f>""</f>
        <v/>
      </c>
      <c r="D212" t="str">
        <f t="shared" si="270"/>
        <v>SHIM</v>
      </c>
      <c r="E212" t="str">
        <f t="shared" si="258"/>
        <v>1Y</v>
      </c>
      <c r="F212" t="str">
        <f t="shared" si="259"/>
        <v>第１工場</v>
      </c>
      <c r="G212" t="str">
        <f t="shared" si="260"/>
        <v>手配</v>
      </c>
      <c r="H212" t="str">
        <f t="shared" si="261"/>
        <v>Ｐ</v>
      </c>
      <c r="I212" t="str">
        <f t="shared" si="246"/>
        <v>6454</v>
      </c>
      <c r="J212" t="str">
        <f t="shared" si="247"/>
        <v>（株）ムロコーポレーション</v>
      </c>
      <c r="K212" t="str">
        <f t="shared" si="245"/>
        <v>01</v>
      </c>
      <c r="L212" t="str">
        <f>""</f>
        <v/>
      </c>
      <c r="M212" t="str">
        <f t="shared" si="222"/>
        <v>――</v>
      </c>
      <c r="N212" t="str">
        <f t="shared" si="215"/>
        <v>――</v>
      </c>
      <c r="O212" t="str">
        <f t="shared" si="262"/>
        <v>Ｍ</v>
      </c>
      <c r="P212" t="str">
        <f t="shared" si="263"/>
        <v>01</v>
      </c>
      <c r="Q212" t="str">
        <f t="shared" si="264"/>
        <v>第１</v>
      </c>
      <c r="R212" t="str">
        <f t="shared" si="265"/>
        <v>1Y</v>
      </c>
      <c r="S212" t="str">
        <f t="shared" si="266"/>
        <v>安城第１工場</v>
      </c>
      <c r="T212" t="str">
        <f t="shared" si="267"/>
        <v>直接</v>
      </c>
      <c r="U212" t="str">
        <f>""</f>
        <v/>
      </c>
      <c r="V212" t="str">
        <f>""</f>
        <v/>
      </c>
      <c r="W212" t="str">
        <f>""</f>
        <v/>
      </c>
      <c r="X212">
        <v>1</v>
      </c>
      <c r="Y212">
        <v>1</v>
      </c>
      <c r="Z212">
        <v>0.73</v>
      </c>
      <c r="AA212">
        <v>0.93</v>
      </c>
      <c r="AB212">
        <v>3</v>
      </c>
      <c r="AC212">
        <v>0.93</v>
      </c>
      <c r="AD212">
        <v>0.93</v>
      </c>
      <c r="AE212">
        <v>1.1000000000000001</v>
      </c>
      <c r="AF212">
        <v>0.5</v>
      </c>
      <c r="AG212" t="str">
        <f t="shared" si="248"/>
        <v>205</v>
      </c>
      <c r="AH212" t="str">
        <f t="shared" si="249"/>
        <v>（株）ムロコーポレーション</v>
      </c>
      <c r="AI212" t="str">
        <f>"007"</f>
        <v>007</v>
      </c>
      <c r="AJ212" t="str">
        <f>""</f>
        <v/>
      </c>
      <c r="AK212" t="str">
        <f>""</f>
        <v/>
      </c>
      <c r="AL212" t="str">
        <f t="shared" si="271"/>
        <v>0370</v>
      </c>
      <c r="AM212" t="str">
        <f t="shared" si="272"/>
        <v>ｼﾑ</v>
      </c>
      <c r="AN212" t="str">
        <f t="shared" si="250"/>
        <v>012</v>
      </c>
      <c r="AO212" t="str">
        <f t="shared" si="251"/>
        <v>TP-131 ﾊﾝﾖｳ</v>
      </c>
      <c r="AP212">
        <v>100</v>
      </c>
      <c r="AQ212" t="str">
        <f>""</f>
        <v/>
      </c>
      <c r="AR212" t="str">
        <f>""</f>
        <v/>
      </c>
      <c r="AS212" t="str">
        <f>""</f>
        <v/>
      </c>
      <c r="AT212" t="str">
        <f t="shared" si="252"/>
        <v>00</v>
      </c>
      <c r="AU212">
        <v>0.5</v>
      </c>
      <c r="AV212" t="str">
        <f>""</f>
        <v/>
      </c>
      <c r="AW212" t="str">
        <f t="shared" si="273"/>
        <v>06</v>
      </c>
      <c r="AX212" t="str">
        <f t="shared" si="274"/>
        <v>計画</v>
      </c>
      <c r="AY212" t="str">
        <f t="shared" si="275"/>
        <v>02</v>
      </c>
      <c r="AZ212" t="str">
        <f t="shared" si="276"/>
        <v>計画・２社</v>
      </c>
      <c r="BA212" t="str">
        <f>""</f>
        <v/>
      </c>
      <c r="BB212" t="str">
        <f t="shared" si="253"/>
        <v>ＴＰ１３１フタナシ</v>
      </c>
      <c r="BC212" t="str">
        <f t="shared" si="254"/>
        <v xml:space="preserve"> 335.000</v>
      </c>
      <c r="BD212" t="str">
        <f t="shared" si="255"/>
        <v xml:space="preserve"> 168.000</v>
      </c>
      <c r="BE212" t="str">
        <f t="shared" si="256"/>
        <v xml:space="preserve"> 103.000</v>
      </c>
      <c r="BF212" t="str">
        <f t="shared" si="257"/>
        <v xml:space="preserve">   0.006</v>
      </c>
      <c r="BG212" t="str">
        <f t="shared" si="280"/>
        <v xml:space="preserve">   1.410</v>
      </c>
      <c r="BH212" t="str">
        <f t="shared" si="221"/>
        <v>しない</v>
      </c>
      <c r="BI212" t="str">
        <f>""</f>
        <v/>
      </c>
      <c r="BJ212" t="str">
        <f t="shared" si="282"/>
        <v>MASTER01</v>
      </c>
      <c r="BK212" t="str">
        <f t="shared" si="281"/>
        <v>2023/01/17</v>
      </c>
      <c r="BL212" t="str">
        <f t="shared" si="268"/>
        <v>NE00</v>
      </c>
      <c r="BM212" t="str">
        <f t="shared" si="269"/>
        <v>１工工務Ｇ</v>
      </c>
      <c r="BN212" t="str">
        <f t="shared" si="278"/>
        <v>46548</v>
      </c>
      <c r="BO212" t="str">
        <f t="shared" si="279"/>
        <v>長畑　玲奈</v>
      </c>
    </row>
    <row r="213" spans="1:67">
      <c r="A213" t="s">
        <v>295</v>
      </c>
      <c r="B213" t="str">
        <f>""</f>
        <v/>
      </c>
      <c r="C213" t="str">
        <f>""</f>
        <v/>
      </c>
      <c r="D213" t="str">
        <f t="shared" si="270"/>
        <v>SHIM</v>
      </c>
      <c r="E213" t="str">
        <f t="shared" si="258"/>
        <v>1Y</v>
      </c>
      <c r="F213" t="str">
        <f t="shared" si="259"/>
        <v>第１工場</v>
      </c>
      <c r="G213" t="str">
        <f t="shared" si="260"/>
        <v>手配</v>
      </c>
      <c r="H213" t="str">
        <f t="shared" si="261"/>
        <v>Ｐ</v>
      </c>
      <c r="I213" t="str">
        <f t="shared" si="246"/>
        <v>6454</v>
      </c>
      <c r="J213" t="str">
        <f t="shared" si="247"/>
        <v>（株）ムロコーポレーション</v>
      </c>
      <c r="K213" t="str">
        <f t="shared" si="245"/>
        <v>01</v>
      </c>
      <c r="L213" t="str">
        <f>""</f>
        <v/>
      </c>
      <c r="M213" t="str">
        <f t="shared" si="222"/>
        <v>――</v>
      </c>
      <c r="N213" t="str">
        <f t="shared" si="215"/>
        <v>――</v>
      </c>
      <c r="O213" t="str">
        <f t="shared" si="262"/>
        <v>Ｍ</v>
      </c>
      <c r="P213" t="str">
        <f t="shared" si="263"/>
        <v>01</v>
      </c>
      <c r="Q213" t="str">
        <f t="shared" si="264"/>
        <v>第１</v>
      </c>
      <c r="R213" t="str">
        <f t="shared" si="265"/>
        <v>1Y</v>
      </c>
      <c r="S213" t="str">
        <f t="shared" si="266"/>
        <v>安城第１工場</v>
      </c>
      <c r="T213" t="str">
        <f t="shared" si="267"/>
        <v>直接</v>
      </c>
      <c r="U213" t="str">
        <f>""</f>
        <v/>
      </c>
      <c r="V213" t="str">
        <f>""</f>
        <v/>
      </c>
      <c r="W213" t="str">
        <f>""</f>
        <v/>
      </c>
      <c r="X213">
        <v>1</v>
      </c>
      <c r="Y213">
        <v>1</v>
      </c>
      <c r="Z213">
        <v>0.73</v>
      </c>
      <c r="AA213">
        <v>0.93</v>
      </c>
      <c r="AB213">
        <v>3</v>
      </c>
      <c r="AC213">
        <v>0.93</v>
      </c>
      <c r="AD213">
        <v>0.93</v>
      </c>
      <c r="AE213">
        <v>1.1000000000000001</v>
      </c>
      <c r="AF213">
        <v>0.5</v>
      </c>
      <c r="AG213" t="str">
        <f t="shared" si="248"/>
        <v>205</v>
      </c>
      <c r="AH213" t="str">
        <f t="shared" si="249"/>
        <v>（株）ムロコーポレーション</v>
      </c>
      <c r="AI213" t="str">
        <f>"008"</f>
        <v>008</v>
      </c>
      <c r="AJ213" t="str">
        <f>""</f>
        <v/>
      </c>
      <c r="AK213" t="str">
        <f>""</f>
        <v/>
      </c>
      <c r="AL213" t="str">
        <f t="shared" si="271"/>
        <v>0370</v>
      </c>
      <c r="AM213" t="str">
        <f t="shared" si="272"/>
        <v>ｼﾑ</v>
      </c>
      <c r="AN213" t="str">
        <f t="shared" si="250"/>
        <v>012</v>
      </c>
      <c r="AO213" t="str">
        <f t="shared" si="251"/>
        <v>TP-131 ﾊﾝﾖｳ</v>
      </c>
      <c r="AP213">
        <v>100</v>
      </c>
      <c r="AQ213" t="str">
        <f>""</f>
        <v/>
      </c>
      <c r="AR213" t="str">
        <f>""</f>
        <v/>
      </c>
      <c r="AS213" t="str">
        <f>""</f>
        <v/>
      </c>
      <c r="AT213" t="str">
        <f t="shared" si="252"/>
        <v>00</v>
      </c>
      <c r="AU213">
        <v>0.5</v>
      </c>
      <c r="AV213" t="str">
        <f>""</f>
        <v/>
      </c>
      <c r="AW213" t="str">
        <f t="shared" si="273"/>
        <v>06</v>
      </c>
      <c r="AX213" t="str">
        <f t="shared" si="274"/>
        <v>計画</v>
      </c>
      <c r="AY213" t="str">
        <f t="shared" si="275"/>
        <v>02</v>
      </c>
      <c r="AZ213" t="str">
        <f t="shared" si="276"/>
        <v>計画・２社</v>
      </c>
      <c r="BA213" t="str">
        <f>""</f>
        <v/>
      </c>
      <c r="BB213" t="str">
        <f t="shared" si="253"/>
        <v>ＴＰ１３１フタナシ</v>
      </c>
      <c r="BC213" t="str">
        <f t="shared" si="254"/>
        <v xml:space="preserve"> 335.000</v>
      </c>
      <c r="BD213" t="str">
        <f t="shared" si="255"/>
        <v xml:space="preserve"> 168.000</v>
      </c>
      <c r="BE213" t="str">
        <f t="shared" si="256"/>
        <v xml:space="preserve"> 103.000</v>
      </c>
      <c r="BF213" t="str">
        <f t="shared" si="257"/>
        <v xml:space="preserve">   0.006</v>
      </c>
      <c r="BG213" t="str">
        <f t="shared" si="280"/>
        <v xml:space="preserve">   1.410</v>
      </c>
      <c r="BH213" t="str">
        <f t="shared" si="221"/>
        <v>しない</v>
      </c>
      <c r="BI213" t="str">
        <f>""</f>
        <v/>
      </c>
      <c r="BJ213" t="str">
        <f t="shared" si="282"/>
        <v>MASTER01</v>
      </c>
      <c r="BK213" t="str">
        <f t="shared" si="281"/>
        <v>2023/01/17</v>
      </c>
      <c r="BL213" t="str">
        <f t="shared" si="268"/>
        <v>NE00</v>
      </c>
      <c r="BM213" t="str">
        <f t="shared" si="269"/>
        <v>１工工務Ｇ</v>
      </c>
      <c r="BN213" t="str">
        <f t="shared" si="278"/>
        <v>46548</v>
      </c>
      <c r="BO213" t="str">
        <f t="shared" si="279"/>
        <v>長畑　玲奈</v>
      </c>
    </row>
    <row r="214" spans="1:67">
      <c r="A214" t="s">
        <v>296</v>
      </c>
      <c r="B214" t="str">
        <f>""</f>
        <v/>
      </c>
      <c r="C214" t="str">
        <f>""</f>
        <v/>
      </c>
      <c r="D214" t="str">
        <f t="shared" si="270"/>
        <v>SHIM</v>
      </c>
      <c r="E214" t="str">
        <f t="shared" si="258"/>
        <v>1Y</v>
      </c>
      <c r="F214" t="str">
        <f t="shared" si="259"/>
        <v>第１工場</v>
      </c>
      <c r="G214" t="str">
        <f t="shared" si="260"/>
        <v>手配</v>
      </c>
      <c r="H214" t="str">
        <f t="shared" si="261"/>
        <v>Ｐ</v>
      </c>
      <c r="I214" t="str">
        <f t="shared" si="246"/>
        <v>6454</v>
      </c>
      <c r="J214" t="str">
        <f t="shared" si="247"/>
        <v>（株）ムロコーポレーション</v>
      </c>
      <c r="K214" t="str">
        <f t="shared" si="245"/>
        <v>01</v>
      </c>
      <c r="L214" t="str">
        <f>""</f>
        <v/>
      </c>
      <c r="M214" t="str">
        <f t="shared" si="222"/>
        <v>――</v>
      </c>
      <c r="N214" t="str">
        <f t="shared" si="215"/>
        <v>――</v>
      </c>
      <c r="O214" t="str">
        <f t="shared" si="262"/>
        <v>Ｍ</v>
      </c>
      <c r="P214" t="str">
        <f t="shared" si="263"/>
        <v>01</v>
      </c>
      <c r="Q214" t="str">
        <f t="shared" si="264"/>
        <v>第１</v>
      </c>
      <c r="R214" t="str">
        <f t="shared" si="265"/>
        <v>1Y</v>
      </c>
      <c r="S214" t="str">
        <f t="shared" si="266"/>
        <v>安城第１工場</v>
      </c>
      <c r="T214" t="str">
        <f t="shared" si="267"/>
        <v>直接</v>
      </c>
      <c r="U214" t="str">
        <f>""</f>
        <v/>
      </c>
      <c r="V214" t="str">
        <f>""</f>
        <v/>
      </c>
      <c r="W214" t="str">
        <f>""</f>
        <v/>
      </c>
      <c r="X214">
        <v>1</v>
      </c>
      <c r="Y214">
        <v>1</v>
      </c>
      <c r="Z214">
        <v>0.73</v>
      </c>
      <c r="AA214">
        <v>0.93</v>
      </c>
      <c r="AB214">
        <v>3</v>
      </c>
      <c r="AC214">
        <v>0.93</v>
      </c>
      <c r="AD214">
        <v>0.93</v>
      </c>
      <c r="AE214">
        <v>1.1000000000000001</v>
      </c>
      <c r="AF214">
        <v>0.5</v>
      </c>
      <c r="AG214" t="str">
        <f t="shared" si="248"/>
        <v>205</v>
      </c>
      <c r="AH214" t="str">
        <f t="shared" si="249"/>
        <v>（株）ムロコーポレーション</v>
      </c>
      <c r="AI214" t="str">
        <f>"009"</f>
        <v>009</v>
      </c>
      <c r="AJ214" t="str">
        <f>""</f>
        <v/>
      </c>
      <c r="AK214" t="str">
        <f>""</f>
        <v/>
      </c>
      <c r="AL214" t="str">
        <f t="shared" si="271"/>
        <v>0370</v>
      </c>
      <c r="AM214" t="str">
        <f t="shared" si="272"/>
        <v>ｼﾑ</v>
      </c>
      <c r="AN214" t="str">
        <f t="shared" si="250"/>
        <v>012</v>
      </c>
      <c r="AO214" t="str">
        <f t="shared" si="251"/>
        <v>TP-131 ﾊﾝﾖｳ</v>
      </c>
      <c r="AP214">
        <v>100</v>
      </c>
      <c r="AQ214" t="str">
        <f>""</f>
        <v/>
      </c>
      <c r="AR214" t="str">
        <f>""</f>
        <v/>
      </c>
      <c r="AS214" t="str">
        <f>""</f>
        <v/>
      </c>
      <c r="AT214" t="str">
        <f t="shared" si="252"/>
        <v>00</v>
      </c>
      <c r="AU214">
        <v>0.5</v>
      </c>
      <c r="AV214" t="str">
        <f>""</f>
        <v/>
      </c>
      <c r="AW214" t="str">
        <f t="shared" si="273"/>
        <v>06</v>
      </c>
      <c r="AX214" t="str">
        <f t="shared" si="274"/>
        <v>計画</v>
      </c>
      <c r="AY214" t="str">
        <f t="shared" si="275"/>
        <v>02</v>
      </c>
      <c r="AZ214" t="str">
        <f t="shared" si="276"/>
        <v>計画・２社</v>
      </c>
      <c r="BA214" t="str">
        <f>""</f>
        <v/>
      </c>
      <c r="BB214" t="str">
        <f t="shared" si="253"/>
        <v>ＴＰ１３１フタナシ</v>
      </c>
      <c r="BC214" t="str">
        <f t="shared" si="254"/>
        <v xml:space="preserve"> 335.000</v>
      </c>
      <c r="BD214" t="str">
        <f t="shared" si="255"/>
        <v xml:space="preserve"> 168.000</v>
      </c>
      <c r="BE214" t="str">
        <f t="shared" si="256"/>
        <v xml:space="preserve"> 103.000</v>
      </c>
      <c r="BF214" t="str">
        <f t="shared" si="257"/>
        <v xml:space="preserve">   0.006</v>
      </c>
      <c r="BG214" t="str">
        <f t="shared" si="280"/>
        <v xml:space="preserve">   1.410</v>
      </c>
      <c r="BH214" t="str">
        <f t="shared" si="221"/>
        <v>しない</v>
      </c>
      <c r="BI214" t="str">
        <f>""</f>
        <v/>
      </c>
      <c r="BJ214" t="str">
        <f t="shared" si="282"/>
        <v>MASTER01</v>
      </c>
      <c r="BK214" t="str">
        <f t="shared" si="281"/>
        <v>2023/01/17</v>
      </c>
      <c r="BL214" t="str">
        <f t="shared" si="268"/>
        <v>NE00</v>
      </c>
      <c r="BM214" t="str">
        <f t="shared" si="269"/>
        <v>１工工務Ｇ</v>
      </c>
      <c r="BN214" t="str">
        <f t="shared" si="278"/>
        <v>46548</v>
      </c>
      <c r="BO214" t="str">
        <f t="shared" si="279"/>
        <v>長畑　玲奈</v>
      </c>
    </row>
    <row r="215" spans="1:67">
      <c r="A215" t="s">
        <v>297</v>
      </c>
      <c r="B215" t="str">
        <f>""</f>
        <v/>
      </c>
      <c r="C215" t="str">
        <f>""</f>
        <v/>
      </c>
      <c r="D215" t="str">
        <f t="shared" si="270"/>
        <v>SHIM</v>
      </c>
      <c r="E215" t="str">
        <f t="shared" si="258"/>
        <v>1Y</v>
      </c>
      <c r="F215" t="str">
        <f t="shared" si="259"/>
        <v>第１工場</v>
      </c>
      <c r="G215" t="str">
        <f t="shared" si="260"/>
        <v>手配</v>
      </c>
      <c r="H215" t="str">
        <f t="shared" si="261"/>
        <v>Ｐ</v>
      </c>
      <c r="I215" t="str">
        <f t="shared" si="246"/>
        <v>6454</v>
      </c>
      <c r="J215" t="str">
        <f t="shared" si="247"/>
        <v>（株）ムロコーポレーション</v>
      </c>
      <c r="K215" t="str">
        <f t="shared" si="245"/>
        <v>01</v>
      </c>
      <c r="L215" t="str">
        <f>""</f>
        <v/>
      </c>
      <c r="M215" t="str">
        <f t="shared" si="222"/>
        <v>――</v>
      </c>
      <c r="N215" t="str">
        <f t="shared" si="215"/>
        <v>――</v>
      </c>
      <c r="O215" t="str">
        <f t="shared" si="262"/>
        <v>Ｍ</v>
      </c>
      <c r="P215" t="str">
        <f t="shared" si="263"/>
        <v>01</v>
      </c>
      <c r="Q215" t="str">
        <f t="shared" si="264"/>
        <v>第１</v>
      </c>
      <c r="R215" t="str">
        <f t="shared" si="265"/>
        <v>1Y</v>
      </c>
      <c r="S215" t="str">
        <f t="shared" si="266"/>
        <v>安城第１工場</v>
      </c>
      <c r="T215" t="str">
        <f t="shared" si="267"/>
        <v>直接</v>
      </c>
      <c r="U215" t="str">
        <f>""</f>
        <v/>
      </c>
      <c r="V215" t="str">
        <f>""</f>
        <v/>
      </c>
      <c r="W215" t="str">
        <f>""</f>
        <v/>
      </c>
      <c r="X215">
        <v>1</v>
      </c>
      <c r="Y215">
        <v>1</v>
      </c>
      <c r="Z215">
        <v>0.73</v>
      </c>
      <c r="AA215">
        <v>0.93</v>
      </c>
      <c r="AB215">
        <v>3</v>
      </c>
      <c r="AC215">
        <v>0.93</v>
      </c>
      <c r="AD215">
        <v>0.93</v>
      </c>
      <c r="AE215">
        <v>1.1000000000000001</v>
      </c>
      <c r="AF215">
        <v>0.5</v>
      </c>
      <c r="AG215" t="str">
        <f t="shared" si="248"/>
        <v>205</v>
      </c>
      <c r="AH215" t="str">
        <f t="shared" si="249"/>
        <v>（株）ムロコーポレーション</v>
      </c>
      <c r="AI215" t="str">
        <f>"002"</f>
        <v>002</v>
      </c>
      <c r="AJ215" t="str">
        <f>""</f>
        <v/>
      </c>
      <c r="AK215" t="str">
        <f>""</f>
        <v/>
      </c>
      <c r="AL215" t="str">
        <f t="shared" si="271"/>
        <v>0370</v>
      </c>
      <c r="AM215" t="str">
        <f t="shared" si="272"/>
        <v>ｼﾑ</v>
      </c>
      <c r="AN215" t="str">
        <f t="shared" si="250"/>
        <v>012</v>
      </c>
      <c r="AO215" t="str">
        <f t="shared" si="251"/>
        <v>TP-131 ﾊﾝﾖｳ</v>
      </c>
      <c r="AP215">
        <v>100</v>
      </c>
      <c r="AQ215" t="str">
        <f>""</f>
        <v/>
      </c>
      <c r="AR215" t="str">
        <f>""</f>
        <v/>
      </c>
      <c r="AS215" t="str">
        <f>""</f>
        <v/>
      </c>
      <c r="AT215" t="str">
        <f t="shared" si="252"/>
        <v>00</v>
      </c>
      <c r="AU215">
        <v>0.5</v>
      </c>
      <c r="AV215" t="str">
        <f>""</f>
        <v/>
      </c>
      <c r="AW215" t="str">
        <f t="shared" si="273"/>
        <v>06</v>
      </c>
      <c r="AX215" t="str">
        <f t="shared" si="274"/>
        <v>計画</v>
      </c>
      <c r="AY215" t="str">
        <f t="shared" si="275"/>
        <v>02</v>
      </c>
      <c r="AZ215" t="str">
        <f t="shared" si="276"/>
        <v>計画・２社</v>
      </c>
      <c r="BA215" t="str">
        <f>""</f>
        <v/>
      </c>
      <c r="BB215" t="str">
        <f t="shared" si="253"/>
        <v>ＴＰ１３１フタナシ</v>
      </c>
      <c r="BC215" t="str">
        <f t="shared" si="254"/>
        <v xml:space="preserve"> 335.000</v>
      </c>
      <c r="BD215" t="str">
        <f t="shared" si="255"/>
        <v xml:space="preserve"> 168.000</v>
      </c>
      <c r="BE215" t="str">
        <f t="shared" si="256"/>
        <v xml:space="preserve"> 103.000</v>
      </c>
      <c r="BF215" t="str">
        <f t="shared" si="257"/>
        <v xml:space="preserve">   0.006</v>
      </c>
      <c r="BG215" t="str">
        <f t="shared" si="280"/>
        <v xml:space="preserve">   1.410</v>
      </c>
      <c r="BH215" t="str">
        <f t="shared" si="221"/>
        <v>しない</v>
      </c>
      <c r="BI215" t="str">
        <f>""</f>
        <v/>
      </c>
      <c r="BJ215" t="str">
        <f t="shared" si="282"/>
        <v>MASTER01</v>
      </c>
      <c r="BK215" t="str">
        <f t="shared" si="281"/>
        <v>2023/01/17</v>
      </c>
      <c r="BL215" t="str">
        <f t="shared" si="268"/>
        <v>NE00</v>
      </c>
      <c r="BM215" t="str">
        <f t="shared" si="269"/>
        <v>１工工務Ｇ</v>
      </c>
      <c r="BN215" t="str">
        <f t="shared" si="278"/>
        <v>46548</v>
      </c>
      <c r="BO215" t="str">
        <f t="shared" si="279"/>
        <v>長畑　玲奈</v>
      </c>
    </row>
    <row r="216" spans="1:67">
      <c r="A216" t="s">
        <v>298</v>
      </c>
      <c r="B216" t="str">
        <f>""</f>
        <v/>
      </c>
      <c r="C216" t="str">
        <f>""</f>
        <v/>
      </c>
      <c r="D216" t="str">
        <f t="shared" si="270"/>
        <v>SHIM</v>
      </c>
      <c r="E216" t="str">
        <f t="shared" si="258"/>
        <v>1Y</v>
      </c>
      <c r="F216" t="str">
        <f t="shared" si="259"/>
        <v>第１工場</v>
      </c>
      <c r="G216" t="str">
        <f t="shared" si="260"/>
        <v>手配</v>
      </c>
      <c r="H216" t="str">
        <f t="shared" si="261"/>
        <v>Ｐ</v>
      </c>
      <c r="I216" t="str">
        <f t="shared" si="246"/>
        <v>6454</v>
      </c>
      <c r="J216" t="str">
        <f t="shared" si="247"/>
        <v>（株）ムロコーポレーション</v>
      </c>
      <c r="K216" t="str">
        <f t="shared" si="245"/>
        <v>01</v>
      </c>
      <c r="L216" t="str">
        <f>""</f>
        <v/>
      </c>
      <c r="M216" t="str">
        <f t="shared" si="222"/>
        <v>――</v>
      </c>
      <c r="N216" t="str">
        <f t="shared" si="215"/>
        <v>――</v>
      </c>
      <c r="O216" t="str">
        <f t="shared" si="262"/>
        <v>Ｍ</v>
      </c>
      <c r="P216" t="str">
        <f t="shared" si="263"/>
        <v>01</v>
      </c>
      <c r="Q216" t="str">
        <f t="shared" si="264"/>
        <v>第１</v>
      </c>
      <c r="R216" t="str">
        <f t="shared" si="265"/>
        <v>1Y</v>
      </c>
      <c r="S216" t="str">
        <f t="shared" si="266"/>
        <v>安城第１工場</v>
      </c>
      <c r="T216" t="str">
        <f t="shared" si="267"/>
        <v>直接</v>
      </c>
      <c r="U216" t="str">
        <f>""</f>
        <v/>
      </c>
      <c r="V216" t="str">
        <f>""</f>
        <v/>
      </c>
      <c r="W216" t="str">
        <f>""</f>
        <v/>
      </c>
      <c r="X216">
        <v>1</v>
      </c>
      <c r="Y216">
        <v>1</v>
      </c>
      <c r="Z216">
        <v>0.73</v>
      </c>
      <c r="AA216">
        <v>0.93</v>
      </c>
      <c r="AB216">
        <v>3</v>
      </c>
      <c r="AC216">
        <v>0.93</v>
      </c>
      <c r="AD216">
        <v>0.93</v>
      </c>
      <c r="AE216">
        <v>1.1000000000000001</v>
      </c>
      <c r="AF216">
        <v>0.5</v>
      </c>
      <c r="AG216" t="str">
        <f t="shared" si="248"/>
        <v>205</v>
      </c>
      <c r="AH216" t="str">
        <f t="shared" si="249"/>
        <v>（株）ムロコーポレーション</v>
      </c>
      <c r="AI216" t="str">
        <f>"003"</f>
        <v>003</v>
      </c>
      <c r="AJ216" t="str">
        <f>""</f>
        <v/>
      </c>
      <c r="AK216" t="str">
        <f>""</f>
        <v/>
      </c>
      <c r="AL216" t="str">
        <f t="shared" si="271"/>
        <v>0370</v>
      </c>
      <c r="AM216" t="str">
        <f t="shared" si="272"/>
        <v>ｼﾑ</v>
      </c>
      <c r="AN216" t="str">
        <f t="shared" si="250"/>
        <v>012</v>
      </c>
      <c r="AO216" t="str">
        <f t="shared" si="251"/>
        <v>TP-131 ﾊﾝﾖｳ</v>
      </c>
      <c r="AP216">
        <v>100</v>
      </c>
      <c r="AQ216" t="str">
        <f>""</f>
        <v/>
      </c>
      <c r="AR216" t="str">
        <f>""</f>
        <v/>
      </c>
      <c r="AS216" t="str">
        <f>""</f>
        <v/>
      </c>
      <c r="AT216" t="str">
        <f t="shared" si="252"/>
        <v>00</v>
      </c>
      <c r="AU216">
        <v>0.5</v>
      </c>
      <c r="AV216" t="str">
        <f>""</f>
        <v/>
      </c>
      <c r="AW216" t="str">
        <f t="shared" si="273"/>
        <v>06</v>
      </c>
      <c r="AX216" t="str">
        <f t="shared" si="274"/>
        <v>計画</v>
      </c>
      <c r="AY216" t="str">
        <f t="shared" si="275"/>
        <v>02</v>
      </c>
      <c r="AZ216" t="str">
        <f t="shared" si="276"/>
        <v>計画・２社</v>
      </c>
      <c r="BA216" t="str">
        <f>""</f>
        <v/>
      </c>
      <c r="BB216" t="str">
        <f t="shared" si="253"/>
        <v>ＴＰ１３１フタナシ</v>
      </c>
      <c r="BC216" t="str">
        <f t="shared" si="254"/>
        <v xml:space="preserve"> 335.000</v>
      </c>
      <c r="BD216" t="str">
        <f t="shared" si="255"/>
        <v xml:space="preserve"> 168.000</v>
      </c>
      <c r="BE216" t="str">
        <f t="shared" si="256"/>
        <v xml:space="preserve"> 103.000</v>
      </c>
      <c r="BF216" t="str">
        <f t="shared" si="257"/>
        <v xml:space="preserve">   0.006</v>
      </c>
      <c r="BG216" t="str">
        <f t="shared" si="280"/>
        <v xml:space="preserve">   1.410</v>
      </c>
      <c r="BH216" t="str">
        <f t="shared" si="221"/>
        <v>しない</v>
      </c>
      <c r="BI216" t="str">
        <f>""</f>
        <v/>
      </c>
      <c r="BJ216" t="str">
        <f t="shared" si="282"/>
        <v>MASTER01</v>
      </c>
      <c r="BK216" t="str">
        <f t="shared" si="281"/>
        <v>2023/01/17</v>
      </c>
      <c r="BL216" t="str">
        <f t="shared" si="268"/>
        <v>NE00</v>
      </c>
      <c r="BM216" t="str">
        <f t="shared" si="269"/>
        <v>１工工務Ｇ</v>
      </c>
      <c r="BN216" t="str">
        <f t="shared" si="278"/>
        <v>46548</v>
      </c>
      <c r="BO216" t="str">
        <f t="shared" si="279"/>
        <v>長畑　玲奈</v>
      </c>
    </row>
    <row r="217" spans="1:67">
      <c r="A217" t="s">
        <v>299</v>
      </c>
      <c r="B217" t="str">
        <f>""</f>
        <v/>
      </c>
      <c r="C217" t="str">
        <f>""</f>
        <v/>
      </c>
      <c r="D217" t="str">
        <f t="shared" si="270"/>
        <v>SHIM</v>
      </c>
      <c r="E217" t="str">
        <f t="shared" si="258"/>
        <v>1Y</v>
      </c>
      <c r="F217" t="str">
        <f t="shared" si="259"/>
        <v>第１工場</v>
      </c>
      <c r="G217" t="str">
        <f t="shared" si="260"/>
        <v>手配</v>
      </c>
      <c r="H217" t="str">
        <f t="shared" si="261"/>
        <v>Ｐ</v>
      </c>
      <c r="I217" t="str">
        <f t="shared" si="246"/>
        <v>6454</v>
      </c>
      <c r="J217" t="str">
        <f t="shared" si="247"/>
        <v>（株）ムロコーポレーション</v>
      </c>
      <c r="K217" t="str">
        <f t="shared" si="245"/>
        <v>01</v>
      </c>
      <c r="L217" t="str">
        <f>""</f>
        <v/>
      </c>
      <c r="M217" t="str">
        <f t="shared" si="222"/>
        <v>――</v>
      </c>
      <c r="N217" t="str">
        <f t="shared" si="215"/>
        <v>――</v>
      </c>
      <c r="O217" t="str">
        <f t="shared" si="262"/>
        <v>Ｍ</v>
      </c>
      <c r="P217" t="str">
        <f t="shared" si="263"/>
        <v>01</v>
      </c>
      <c r="Q217" t="str">
        <f t="shared" si="264"/>
        <v>第１</v>
      </c>
      <c r="R217" t="str">
        <f t="shared" si="265"/>
        <v>1Y</v>
      </c>
      <c r="S217" t="str">
        <f t="shared" si="266"/>
        <v>安城第１工場</v>
      </c>
      <c r="T217" t="str">
        <f t="shared" si="267"/>
        <v>直接</v>
      </c>
      <c r="U217" t="str">
        <f>""</f>
        <v/>
      </c>
      <c r="V217" t="str">
        <f>""</f>
        <v/>
      </c>
      <c r="W217" t="str">
        <f>""</f>
        <v/>
      </c>
      <c r="X217">
        <v>1</v>
      </c>
      <c r="Y217">
        <v>1</v>
      </c>
      <c r="Z217">
        <v>0.73</v>
      </c>
      <c r="AA217">
        <v>0.93</v>
      </c>
      <c r="AB217">
        <v>3</v>
      </c>
      <c r="AC217">
        <v>0.93</v>
      </c>
      <c r="AD217">
        <v>0.93</v>
      </c>
      <c r="AE217">
        <v>1.1000000000000001</v>
      </c>
      <c r="AF217">
        <v>0.5</v>
      </c>
      <c r="AG217" t="str">
        <f t="shared" si="248"/>
        <v>205</v>
      </c>
      <c r="AH217" t="str">
        <f t="shared" si="249"/>
        <v>（株）ムロコーポレーション</v>
      </c>
      <c r="AI217" t="str">
        <f>"004"</f>
        <v>004</v>
      </c>
      <c r="AJ217" t="str">
        <f>""</f>
        <v/>
      </c>
      <c r="AK217" t="str">
        <f>""</f>
        <v/>
      </c>
      <c r="AL217" t="str">
        <f t="shared" si="271"/>
        <v>0370</v>
      </c>
      <c r="AM217" t="str">
        <f t="shared" si="272"/>
        <v>ｼﾑ</v>
      </c>
      <c r="AN217" t="str">
        <f t="shared" si="250"/>
        <v>012</v>
      </c>
      <c r="AO217" t="str">
        <f t="shared" si="251"/>
        <v>TP-131 ﾊﾝﾖｳ</v>
      </c>
      <c r="AP217">
        <v>100</v>
      </c>
      <c r="AQ217" t="str">
        <f>""</f>
        <v/>
      </c>
      <c r="AR217" t="str">
        <f>""</f>
        <v/>
      </c>
      <c r="AS217" t="str">
        <f>""</f>
        <v/>
      </c>
      <c r="AT217" t="str">
        <f t="shared" si="252"/>
        <v>00</v>
      </c>
      <c r="AU217">
        <v>0.5</v>
      </c>
      <c r="AV217" t="str">
        <f>""</f>
        <v/>
      </c>
      <c r="AW217" t="str">
        <f t="shared" si="273"/>
        <v>06</v>
      </c>
      <c r="AX217" t="str">
        <f t="shared" si="274"/>
        <v>計画</v>
      </c>
      <c r="AY217" t="str">
        <f t="shared" si="275"/>
        <v>02</v>
      </c>
      <c r="AZ217" t="str">
        <f t="shared" si="276"/>
        <v>計画・２社</v>
      </c>
      <c r="BA217" t="str">
        <f>""</f>
        <v/>
      </c>
      <c r="BB217" t="str">
        <f t="shared" si="253"/>
        <v>ＴＰ１３１フタナシ</v>
      </c>
      <c r="BC217" t="str">
        <f t="shared" si="254"/>
        <v xml:space="preserve"> 335.000</v>
      </c>
      <c r="BD217" t="str">
        <f t="shared" si="255"/>
        <v xml:space="preserve"> 168.000</v>
      </c>
      <c r="BE217" t="str">
        <f t="shared" si="256"/>
        <v xml:space="preserve"> 103.000</v>
      </c>
      <c r="BF217" t="str">
        <f t="shared" si="257"/>
        <v xml:space="preserve">   0.006</v>
      </c>
      <c r="BG217" t="str">
        <f t="shared" si="280"/>
        <v xml:space="preserve">   1.410</v>
      </c>
      <c r="BH217" t="str">
        <f t="shared" si="221"/>
        <v>しない</v>
      </c>
      <c r="BI217" t="str">
        <f>""</f>
        <v/>
      </c>
      <c r="BJ217" t="str">
        <f t="shared" si="282"/>
        <v>MASTER01</v>
      </c>
      <c r="BK217" t="str">
        <f t="shared" si="281"/>
        <v>2023/01/17</v>
      </c>
      <c r="BL217" t="str">
        <f t="shared" si="268"/>
        <v>NE00</v>
      </c>
      <c r="BM217" t="str">
        <f t="shared" si="269"/>
        <v>１工工務Ｇ</v>
      </c>
      <c r="BN217" t="str">
        <f t="shared" si="278"/>
        <v>46548</v>
      </c>
      <c r="BO217" t="str">
        <f t="shared" si="279"/>
        <v>長畑　玲奈</v>
      </c>
    </row>
    <row r="218" spans="1:67">
      <c r="A218" t="s">
        <v>300</v>
      </c>
      <c r="B218" t="str">
        <f>""</f>
        <v/>
      </c>
      <c r="C218" t="str">
        <f>""</f>
        <v/>
      </c>
      <c r="D218" t="str">
        <f t="shared" si="270"/>
        <v>SHIM</v>
      </c>
      <c r="E218" t="str">
        <f t="shared" si="258"/>
        <v>1Y</v>
      </c>
      <c r="F218" t="str">
        <f t="shared" si="259"/>
        <v>第１工場</v>
      </c>
      <c r="G218" t="str">
        <f t="shared" si="260"/>
        <v>手配</v>
      </c>
      <c r="H218" t="str">
        <f t="shared" si="261"/>
        <v>Ｐ</v>
      </c>
      <c r="I218" t="str">
        <f t="shared" si="246"/>
        <v>6454</v>
      </c>
      <c r="J218" t="str">
        <f t="shared" si="247"/>
        <v>（株）ムロコーポレーション</v>
      </c>
      <c r="K218" t="str">
        <f t="shared" si="245"/>
        <v>01</v>
      </c>
      <c r="L218" t="str">
        <f>""</f>
        <v/>
      </c>
      <c r="M218" t="str">
        <f t="shared" si="222"/>
        <v>――</v>
      </c>
      <c r="N218" t="str">
        <f t="shared" si="215"/>
        <v>――</v>
      </c>
      <c r="O218" t="str">
        <f t="shared" si="262"/>
        <v>Ｍ</v>
      </c>
      <c r="P218" t="str">
        <f t="shared" si="263"/>
        <v>01</v>
      </c>
      <c r="Q218" t="str">
        <f t="shared" si="264"/>
        <v>第１</v>
      </c>
      <c r="R218" t="str">
        <f t="shared" si="265"/>
        <v>1Y</v>
      </c>
      <c r="S218" t="str">
        <f t="shared" si="266"/>
        <v>安城第１工場</v>
      </c>
      <c r="T218" t="str">
        <f t="shared" si="267"/>
        <v>直接</v>
      </c>
      <c r="U218" t="str">
        <f>""</f>
        <v/>
      </c>
      <c r="V218" t="str">
        <f>""</f>
        <v/>
      </c>
      <c r="W218" t="str">
        <f>""</f>
        <v/>
      </c>
      <c r="X218">
        <v>1</v>
      </c>
      <c r="Y218">
        <v>1</v>
      </c>
      <c r="Z218">
        <v>0.73</v>
      </c>
      <c r="AA218">
        <v>0.93</v>
      </c>
      <c r="AB218">
        <v>3</v>
      </c>
      <c r="AC218">
        <v>0.93</v>
      </c>
      <c r="AD218">
        <v>0.93</v>
      </c>
      <c r="AE218">
        <v>1.1000000000000001</v>
      </c>
      <c r="AF218">
        <v>0.5</v>
      </c>
      <c r="AG218" t="str">
        <f t="shared" si="248"/>
        <v>205</v>
      </c>
      <c r="AH218" t="str">
        <f t="shared" si="249"/>
        <v>（株）ムロコーポレーション</v>
      </c>
      <c r="AI218" t="str">
        <f>"005"</f>
        <v>005</v>
      </c>
      <c r="AJ218" t="str">
        <f>""</f>
        <v/>
      </c>
      <c r="AK218" t="str">
        <f>""</f>
        <v/>
      </c>
      <c r="AL218" t="str">
        <f t="shared" si="271"/>
        <v>0370</v>
      </c>
      <c r="AM218" t="str">
        <f t="shared" si="272"/>
        <v>ｼﾑ</v>
      </c>
      <c r="AN218" t="str">
        <f t="shared" si="250"/>
        <v>012</v>
      </c>
      <c r="AO218" t="str">
        <f t="shared" si="251"/>
        <v>TP-131 ﾊﾝﾖｳ</v>
      </c>
      <c r="AP218">
        <v>100</v>
      </c>
      <c r="AQ218" t="str">
        <f>""</f>
        <v/>
      </c>
      <c r="AR218" t="str">
        <f>""</f>
        <v/>
      </c>
      <c r="AS218" t="str">
        <f>""</f>
        <v/>
      </c>
      <c r="AT218" t="str">
        <f t="shared" si="252"/>
        <v>00</v>
      </c>
      <c r="AU218">
        <v>0.5</v>
      </c>
      <c r="AV218" t="str">
        <f>""</f>
        <v/>
      </c>
      <c r="AW218" t="str">
        <f t="shared" si="273"/>
        <v>06</v>
      </c>
      <c r="AX218" t="str">
        <f t="shared" si="274"/>
        <v>計画</v>
      </c>
      <c r="AY218" t="str">
        <f t="shared" si="275"/>
        <v>02</v>
      </c>
      <c r="AZ218" t="str">
        <f t="shared" si="276"/>
        <v>計画・２社</v>
      </c>
      <c r="BA218" t="str">
        <f>""</f>
        <v/>
      </c>
      <c r="BB218" t="str">
        <f t="shared" si="253"/>
        <v>ＴＰ１３１フタナシ</v>
      </c>
      <c r="BC218" t="str">
        <f t="shared" si="254"/>
        <v xml:space="preserve"> 335.000</v>
      </c>
      <c r="BD218" t="str">
        <f t="shared" si="255"/>
        <v xml:space="preserve"> 168.000</v>
      </c>
      <c r="BE218" t="str">
        <f t="shared" si="256"/>
        <v xml:space="preserve"> 103.000</v>
      </c>
      <c r="BF218" t="str">
        <f t="shared" si="257"/>
        <v xml:space="preserve">   0.006</v>
      </c>
      <c r="BG218" t="str">
        <f t="shared" si="280"/>
        <v xml:space="preserve">   1.410</v>
      </c>
      <c r="BH218" t="str">
        <f t="shared" si="221"/>
        <v>しない</v>
      </c>
      <c r="BI218" t="str">
        <f>""</f>
        <v/>
      </c>
      <c r="BJ218" t="str">
        <f t="shared" si="282"/>
        <v>MASTER01</v>
      </c>
      <c r="BK218" t="str">
        <f t="shared" si="281"/>
        <v>2023/01/17</v>
      </c>
      <c r="BL218" t="str">
        <f t="shared" si="268"/>
        <v>NE00</v>
      </c>
      <c r="BM218" t="str">
        <f t="shared" si="269"/>
        <v>１工工務Ｇ</v>
      </c>
      <c r="BN218" t="str">
        <f t="shared" si="278"/>
        <v>46548</v>
      </c>
      <c r="BO218" t="str">
        <f t="shared" si="279"/>
        <v>長畑　玲奈</v>
      </c>
    </row>
    <row r="219" spans="1:67">
      <c r="A219" t="s">
        <v>301</v>
      </c>
      <c r="B219" t="str">
        <f>""</f>
        <v/>
      </c>
      <c r="C219" t="str">
        <f>""</f>
        <v/>
      </c>
      <c r="D219" t="str">
        <f t="shared" si="270"/>
        <v>SHIM</v>
      </c>
      <c r="E219" t="str">
        <f t="shared" si="258"/>
        <v>1Y</v>
      </c>
      <c r="F219" t="str">
        <f t="shared" si="259"/>
        <v>第１工場</v>
      </c>
      <c r="G219" t="str">
        <f t="shared" si="260"/>
        <v>手配</v>
      </c>
      <c r="H219" t="str">
        <f t="shared" si="261"/>
        <v>Ｐ</v>
      </c>
      <c r="I219" t="str">
        <f t="shared" si="246"/>
        <v>6454</v>
      </c>
      <c r="J219" t="str">
        <f t="shared" si="247"/>
        <v>（株）ムロコーポレーション</v>
      </c>
      <c r="K219" t="str">
        <f t="shared" si="245"/>
        <v>01</v>
      </c>
      <c r="L219" t="str">
        <f>""</f>
        <v/>
      </c>
      <c r="M219" t="str">
        <f t="shared" si="222"/>
        <v>――</v>
      </c>
      <c r="N219" t="str">
        <f t="shared" si="215"/>
        <v>――</v>
      </c>
      <c r="O219" t="str">
        <f t="shared" si="262"/>
        <v>Ｍ</v>
      </c>
      <c r="P219" t="str">
        <f t="shared" si="263"/>
        <v>01</v>
      </c>
      <c r="Q219" t="str">
        <f t="shared" si="264"/>
        <v>第１</v>
      </c>
      <c r="R219" t="str">
        <f t="shared" si="265"/>
        <v>1Y</v>
      </c>
      <c r="S219" t="str">
        <f t="shared" si="266"/>
        <v>安城第１工場</v>
      </c>
      <c r="T219" t="str">
        <f t="shared" si="267"/>
        <v>直接</v>
      </c>
      <c r="U219" t="str">
        <f>""</f>
        <v/>
      </c>
      <c r="V219" t="str">
        <f>""</f>
        <v/>
      </c>
      <c r="W219" t="str">
        <f>""</f>
        <v/>
      </c>
      <c r="X219">
        <v>1</v>
      </c>
      <c r="Y219">
        <v>1</v>
      </c>
      <c r="Z219">
        <v>0.73</v>
      </c>
      <c r="AA219">
        <v>0.93</v>
      </c>
      <c r="AB219">
        <v>3</v>
      </c>
      <c r="AC219">
        <v>0.93</v>
      </c>
      <c r="AD219">
        <v>0.93</v>
      </c>
      <c r="AE219">
        <v>1.1000000000000001</v>
      </c>
      <c r="AF219">
        <v>0.5</v>
      </c>
      <c r="AG219" t="str">
        <f t="shared" si="248"/>
        <v>205</v>
      </c>
      <c r="AH219" t="str">
        <f t="shared" si="249"/>
        <v>（株）ムロコーポレーション</v>
      </c>
      <c r="AI219" t="str">
        <f>"006"</f>
        <v>006</v>
      </c>
      <c r="AJ219" t="str">
        <f>""</f>
        <v/>
      </c>
      <c r="AK219" t="str">
        <f>""</f>
        <v/>
      </c>
      <c r="AL219" t="str">
        <f t="shared" si="271"/>
        <v>0370</v>
      </c>
      <c r="AM219" t="str">
        <f t="shared" si="272"/>
        <v>ｼﾑ</v>
      </c>
      <c r="AN219" t="str">
        <f t="shared" si="250"/>
        <v>012</v>
      </c>
      <c r="AO219" t="str">
        <f t="shared" si="251"/>
        <v>TP-131 ﾊﾝﾖｳ</v>
      </c>
      <c r="AP219">
        <v>100</v>
      </c>
      <c r="AQ219" t="str">
        <f>""</f>
        <v/>
      </c>
      <c r="AR219" t="str">
        <f>""</f>
        <v/>
      </c>
      <c r="AS219" t="str">
        <f>""</f>
        <v/>
      </c>
      <c r="AT219" t="str">
        <f t="shared" si="252"/>
        <v>00</v>
      </c>
      <c r="AU219">
        <v>0.5</v>
      </c>
      <c r="AV219" t="str">
        <f>""</f>
        <v/>
      </c>
      <c r="AW219" t="str">
        <f t="shared" si="273"/>
        <v>06</v>
      </c>
      <c r="AX219" t="str">
        <f t="shared" si="274"/>
        <v>計画</v>
      </c>
      <c r="AY219" t="str">
        <f t="shared" si="275"/>
        <v>02</v>
      </c>
      <c r="AZ219" t="str">
        <f t="shared" si="276"/>
        <v>計画・２社</v>
      </c>
      <c r="BA219" t="str">
        <f>""</f>
        <v/>
      </c>
      <c r="BB219" t="str">
        <f t="shared" si="253"/>
        <v>ＴＰ１３１フタナシ</v>
      </c>
      <c r="BC219" t="str">
        <f t="shared" si="254"/>
        <v xml:space="preserve"> 335.000</v>
      </c>
      <c r="BD219" t="str">
        <f t="shared" si="255"/>
        <v xml:space="preserve"> 168.000</v>
      </c>
      <c r="BE219" t="str">
        <f t="shared" si="256"/>
        <v xml:space="preserve"> 103.000</v>
      </c>
      <c r="BF219" t="str">
        <f t="shared" si="257"/>
        <v xml:space="preserve">   0.006</v>
      </c>
      <c r="BG219" t="str">
        <f t="shared" si="280"/>
        <v xml:space="preserve">   1.410</v>
      </c>
      <c r="BH219" t="str">
        <f t="shared" si="221"/>
        <v>しない</v>
      </c>
      <c r="BI219" t="str">
        <f>""</f>
        <v/>
      </c>
      <c r="BJ219" t="str">
        <f t="shared" si="282"/>
        <v>MASTER01</v>
      </c>
      <c r="BK219" t="str">
        <f t="shared" si="281"/>
        <v>2023/01/17</v>
      </c>
      <c r="BL219" t="str">
        <f t="shared" si="268"/>
        <v>NE00</v>
      </c>
      <c r="BM219" t="str">
        <f t="shared" si="269"/>
        <v>１工工務Ｇ</v>
      </c>
      <c r="BN219" t="str">
        <f t="shared" si="278"/>
        <v>46548</v>
      </c>
      <c r="BO219" t="str">
        <f t="shared" si="279"/>
        <v>長畑　玲奈</v>
      </c>
    </row>
    <row r="220" spans="1:67">
      <c r="A220" t="s">
        <v>302</v>
      </c>
      <c r="B220" t="str">
        <f>""</f>
        <v/>
      </c>
      <c r="C220" t="str">
        <f>""</f>
        <v/>
      </c>
      <c r="D220" t="str">
        <f t="shared" si="270"/>
        <v>SHIM</v>
      </c>
      <c r="E220" t="str">
        <f t="shared" si="258"/>
        <v>1Y</v>
      </c>
      <c r="F220" t="str">
        <f t="shared" si="259"/>
        <v>第１工場</v>
      </c>
      <c r="G220" t="str">
        <f t="shared" si="260"/>
        <v>手配</v>
      </c>
      <c r="H220" t="str">
        <f t="shared" si="261"/>
        <v>Ｐ</v>
      </c>
      <c r="I220" t="str">
        <f t="shared" si="246"/>
        <v>6454</v>
      </c>
      <c r="J220" t="str">
        <f t="shared" si="247"/>
        <v>（株）ムロコーポレーション</v>
      </c>
      <c r="K220" t="str">
        <f t="shared" si="245"/>
        <v>01</v>
      </c>
      <c r="L220" t="str">
        <f>""</f>
        <v/>
      </c>
      <c r="M220" t="str">
        <f t="shared" si="222"/>
        <v>――</v>
      </c>
      <c r="N220" t="str">
        <f t="shared" si="215"/>
        <v>――</v>
      </c>
      <c r="O220" t="str">
        <f t="shared" si="262"/>
        <v>Ｍ</v>
      </c>
      <c r="P220" t="str">
        <f t="shared" si="263"/>
        <v>01</v>
      </c>
      <c r="Q220" t="str">
        <f t="shared" si="264"/>
        <v>第１</v>
      </c>
      <c r="R220" t="str">
        <f t="shared" si="265"/>
        <v>1Y</v>
      </c>
      <c r="S220" t="str">
        <f t="shared" si="266"/>
        <v>安城第１工場</v>
      </c>
      <c r="T220" t="str">
        <f t="shared" si="267"/>
        <v>直接</v>
      </c>
      <c r="U220" t="str">
        <f>""</f>
        <v/>
      </c>
      <c r="V220" t="str">
        <f>""</f>
        <v/>
      </c>
      <c r="W220" t="str">
        <f>""</f>
        <v/>
      </c>
      <c r="X220">
        <v>1</v>
      </c>
      <c r="Y220">
        <v>1</v>
      </c>
      <c r="Z220">
        <v>0.73</v>
      </c>
      <c r="AA220">
        <v>0.93</v>
      </c>
      <c r="AB220">
        <v>3</v>
      </c>
      <c r="AC220">
        <v>0.93</v>
      </c>
      <c r="AD220">
        <v>0.93</v>
      </c>
      <c r="AE220">
        <v>1.1000000000000001</v>
      </c>
      <c r="AF220">
        <v>0.5</v>
      </c>
      <c r="AG220" t="str">
        <f t="shared" si="248"/>
        <v>205</v>
      </c>
      <c r="AH220" t="str">
        <f t="shared" si="249"/>
        <v>（株）ムロコーポレーション</v>
      </c>
      <c r="AI220" t="str">
        <f>"007"</f>
        <v>007</v>
      </c>
      <c r="AJ220" t="str">
        <f>""</f>
        <v/>
      </c>
      <c r="AK220" t="str">
        <f>""</f>
        <v/>
      </c>
      <c r="AL220" t="str">
        <f t="shared" si="271"/>
        <v>0370</v>
      </c>
      <c r="AM220" t="str">
        <f t="shared" si="272"/>
        <v>ｼﾑ</v>
      </c>
      <c r="AN220" t="str">
        <f t="shared" si="250"/>
        <v>012</v>
      </c>
      <c r="AO220" t="str">
        <f t="shared" si="251"/>
        <v>TP-131 ﾊﾝﾖｳ</v>
      </c>
      <c r="AP220">
        <v>100</v>
      </c>
      <c r="AQ220" t="str">
        <f>""</f>
        <v/>
      </c>
      <c r="AR220" t="str">
        <f>""</f>
        <v/>
      </c>
      <c r="AS220" t="str">
        <f>""</f>
        <v/>
      </c>
      <c r="AT220" t="str">
        <f t="shared" si="252"/>
        <v>00</v>
      </c>
      <c r="AU220">
        <v>0.5</v>
      </c>
      <c r="AV220" t="str">
        <f>""</f>
        <v/>
      </c>
      <c r="AW220" t="str">
        <f t="shared" si="273"/>
        <v>06</v>
      </c>
      <c r="AX220" t="str">
        <f t="shared" si="274"/>
        <v>計画</v>
      </c>
      <c r="AY220" t="str">
        <f t="shared" si="275"/>
        <v>02</v>
      </c>
      <c r="AZ220" t="str">
        <f t="shared" si="276"/>
        <v>計画・２社</v>
      </c>
      <c r="BA220" t="str">
        <f>""</f>
        <v/>
      </c>
      <c r="BB220" t="str">
        <f t="shared" si="253"/>
        <v>ＴＰ１３１フタナシ</v>
      </c>
      <c r="BC220" t="str">
        <f t="shared" si="254"/>
        <v xml:space="preserve"> 335.000</v>
      </c>
      <c r="BD220" t="str">
        <f t="shared" si="255"/>
        <v xml:space="preserve"> 168.000</v>
      </c>
      <c r="BE220" t="str">
        <f t="shared" si="256"/>
        <v xml:space="preserve"> 103.000</v>
      </c>
      <c r="BF220" t="str">
        <f t="shared" si="257"/>
        <v xml:space="preserve">   0.006</v>
      </c>
      <c r="BG220" t="str">
        <f t="shared" si="280"/>
        <v xml:space="preserve">   1.410</v>
      </c>
      <c r="BH220" t="str">
        <f t="shared" si="221"/>
        <v>しない</v>
      </c>
      <c r="BI220" t="str">
        <f>""</f>
        <v/>
      </c>
      <c r="BJ220" t="str">
        <f t="shared" si="282"/>
        <v>MASTER01</v>
      </c>
      <c r="BK220" t="str">
        <f t="shared" si="281"/>
        <v>2023/01/17</v>
      </c>
      <c r="BL220" t="str">
        <f t="shared" si="268"/>
        <v>NE00</v>
      </c>
      <c r="BM220" t="str">
        <f t="shared" si="269"/>
        <v>１工工務Ｇ</v>
      </c>
      <c r="BN220" t="str">
        <f t="shared" si="278"/>
        <v>46548</v>
      </c>
      <c r="BO220" t="str">
        <f t="shared" si="279"/>
        <v>長畑　玲奈</v>
      </c>
    </row>
    <row r="221" spans="1:67">
      <c r="A221" t="s">
        <v>303</v>
      </c>
      <c r="B221" t="str">
        <f>""</f>
        <v/>
      </c>
      <c r="C221" t="str">
        <f>""</f>
        <v/>
      </c>
      <c r="D221" t="str">
        <f t="shared" si="270"/>
        <v>SHIM</v>
      </c>
      <c r="E221" t="str">
        <f t="shared" si="258"/>
        <v>1Y</v>
      </c>
      <c r="F221" t="str">
        <f t="shared" si="259"/>
        <v>第１工場</v>
      </c>
      <c r="G221" t="str">
        <f t="shared" si="260"/>
        <v>手配</v>
      </c>
      <c r="H221" t="str">
        <f t="shared" si="261"/>
        <v>Ｐ</v>
      </c>
      <c r="I221" t="str">
        <f t="shared" si="246"/>
        <v>6454</v>
      </c>
      <c r="J221" t="str">
        <f t="shared" si="247"/>
        <v>（株）ムロコーポレーション</v>
      </c>
      <c r="K221" t="str">
        <f t="shared" si="245"/>
        <v>01</v>
      </c>
      <c r="L221" t="str">
        <f>""</f>
        <v/>
      </c>
      <c r="M221" t="str">
        <f t="shared" si="222"/>
        <v>――</v>
      </c>
      <c r="N221" t="str">
        <f t="shared" si="215"/>
        <v>――</v>
      </c>
      <c r="O221" t="str">
        <f t="shared" si="262"/>
        <v>Ｍ</v>
      </c>
      <c r="P221" t="str">
        <f t="shared" si="263"/>
        <v>01</v>
      </c>
      <c r="Q221" t="str">
        <f t="shared" si="264"/>
        <v>第１</v>
      </c>
      <c r="R221" t="str">
        <f t="shared" si="265"/>
        <v>1Y</v>
      </c>
      <c r="S221" t="str">
        <f t="shared" si="266"/>
        <v>安城第１工場</v>
      </c>
      <c r="T221" t="str">
        <f t="shared" si="267"/>
        <v>直接</v>
      </c>
      <c r="U221" t="str">
        <f>""</f>
        <v/>
      </c>
      <c r="V221" t="str">
        <f>""</f>
        <v/>
      </c>
      <c r="W221" t="str">
        <f>""</f>
        <v/>
      </c>
      <c r="X221">
        <v>1</v>
      </c>
      <c r="Y221">
        <v>1</v>
      </c>
      <c r="Z221">
        <v>0.73</v>
      </c>
      <c r="AA221">
        <v>0.93</v>
      </c>
      <c r="AB221">
        <v>3</v>
      </c>
      <c r="AC221">
        <v>0.93</v>
      </c>
      <c r="AD221">
        <v>0.93</v>
      </c>
      <c r="AE221">
        <v>1.1000000000000001</v>
      </c>
      <c r="AF221">
        <v>0.5</v>
      </c>
      <c r="AG221" t="str">
        <f t="shared" si="248"/>
        <v>205</v>
      </c>
      <c r="AH221" t="str">
        <f t="shared" si="249"/>
        <v>（株）ムロコーポレーション</v>
      </c>
      <c r="AI221" t="str">
        <f>"008"</f>
        <v>008</v>
      </c>
      <c r="AJ221" t="str">
        <f>""</f>
        <v/>
      </c>
      <c r="AK221" t="str">
        <f>""</f>
        <v/>
      </c>
      <c r="AL221" t="str">
        <f t="shared" si="271"/>
        <v>0370</v>
      </c>
      <c r="AM221" t="str">
        <f t="shared" si="272"/>
        <v>ｼﾑ</v>
      </c>
      <c r="AN221" t="str">
        <f t="shared" si="250"/>
        <v>012</v>
      </c>
      <c r="AO221" t="str">
        <f t="shared" si="251"/>
        <v>TP-131 ﾊﾝﾖｳ</v>
      </c>
      <c r="AP221">
        <v>100</v>
      </c>
      <c r="AQ221" t="str">
        <f>""</f>
        <v/>
      </c>
      <c r="AR221" t="str">
        <f>""</f>
        <v/>
      </c>
      <c r="AS221" t="str">
        <f>""</f>
        <v/>
      </c>
      <c r="AT221" t="str">
        <f t="shared" si="252"/>
        <v>00</v>
      </c>
      <c r="AU221">
        <v>0.5</v>
      </c>
      <c r="AV221" t="str">
        <f>""</f>
        <v/>
      </c>
      <c r="AW221" t="str">
        <f t="shared" si="273"/>
        <v>06</v>
      </c>
      <c r="AX221" t="str">
        <f t="shared" si="274"/>
        <v>計画</v>
      </c>
      <c r="AY221" t="str">
        <f t="shared" si="275"/>
        <v>02</v>
      </c>
      <c r="AZ221" t="str">
        <f t="shared" si="276"/>
        <v>計画・２社</v>
      </c>
      <c r="BA221" t="str">
        <f>""</f>
        <v/>
      </c>
      <c r="BB221" t="str">
        <f t="shared" si="253"/>
        <v>ＴＰ１３１フタナシ</v>
      </c>
      <c r="BC221" t="str">
        <f t="shared" si="254"/>
        <v xml:space="preserve"> 335.000</v>
      </c>
      <c r="BD221" t="str">
        <f t="shared" si="255"/>
        <v xml:space="preserve"> 168.000</v>
      </c>
      <c r="BE221" t="str">
        <f t="shared" si="256"/>
        <v xml:space="preserve"> 103.000</v>
      </c>
      <c r="BF221" t="str">
        <f t="shared" si="257"/>
        <v xml:space="preserve">   0.006</v>
      </c>
      <c r="BG221" t="str">
        <f t="shared" si="280"/>
        <v xml:space="preserve">   1.410</v>
      </c>
      <c r="BH221" t="str">
        <f t="shared" si="221"/>
        <v>しない</v>
      </c>
      <c r="BI221" t="str">
        <f>""</f>
        <v/>
      </c>
      <c r="BJ221" t="str">
        <f t="shared" si="282"/>
        <v>MASTER01</v>
      </c>
      <c r="BK221" t="str">
        <f t="shared" si="281"/>
        <v>2023/01/17</v>
      </c>
      <c r="BL221" t="str">
        <f t="shared" si="268"/>
        <v>NE00</v>
      </c>
      <c r="BM221" t="str">
        <f t="shared" si="269"/>
        <v>１工工務Ｇ</v>
      </c>
      <c r="BN221" t="str">
        <f t="shared" si="278"/>
        <v>46548</v>
      </c>
      <c r="BO221" t="str">
        <f t="shared" si="279"/>
        <v>長畑　玲奈</v>
      </c>
    </row>
    <row r="222" spans="1:67">
      <c r="A222" t="s">
        <v>304</v>
      </c>
      <c r="B222" t="str">
        <f>""</f>
        <v/>
      </c>
      <c r="C222" t="str">
        <f>""</f>
        <v/>
      </c>
      <c r="D222" t="str">
        <f t="shared" si="270"/>
        <v>SHIM</v>
      </c>
      <c r="E222" t="str">
        <f t="shared" si="258"/>
        <v>1Y</v>
      </c>
      <c r="F222" t="str">
        <f t="shared" si="259"/>
        <v>第１工場</v>
      </c>
      <c r="G222" t="str">
        <f t="shared" si="260"/>
        <v>手配</v>
      </c>
      <c r="H222" t="str">
        <f t="shared" si="261"/>
        <v>Ｐ</v>
      </c>
      <c r="I222" t="str">
        <f t="shared" si="246"/>
        <v>6454</v>
      </c>
      <c r="J222" t="str">
        <f t="shared" si="247"/>
        <v>（株）ムロコーポレーション</v>
      </c>
      <c r="K222" t="str">
        <f t="shared" si="245"/>
        <v>01</v>
      </c>
      <c r="L222" t="str">
        <f>""</f>
        <v/>
      </c>
      <c r="M222" t="str">
        <f t="shared" si="222"/>
        <v>――</v>
      </c>
      <c r="N222" t="str">
        <f t="shared" si="222"/>
        <v>――</v>
      </c>
      <c r="O222" t="str">
        <f t="shared" si="262"/>
        <v>Ｍ</v>
      </c>
      <c r="P222" t="str">
        <f t="shared" si="263"/>
        <v>01</v>
      </c>
      <c r="Q222" t="str">
        <f t="shared" si="264"/>
        <v>第１</v>
      </c>
      <c r="R222" t="str">
        <f t="shared" si="265"/>
        <v>1Y</v>
      </c>
      <c r="S222" t="str">
        <f t="shared" si="266"/>
        <v>安城第１工場</v>
      </c>
      <c r="T222" t="str">
        <f t="shared" si="267"/>
        <v>直接</v>
      </c>
      <c r="U222" t="str">
        <f>""</f>
        <v/>
      </c>
      <c r="V222" t="str">
        <f>""</f>
        <v/>
      </c>
      <c r="W222" t="str">
        <f>""</f>
        <v/>
      </c>
      <c r="X222">
        <v>1</v>
      </c>
      <c r="Y222">
        <v>1</v>
      </c>
      <c r="Z222">
        <v>0.73</v>
      </c>
      <c r="AA222">
        <v>0.93</v>
      </c>
      <c r="AB222">
        <v>3</v>
      </c>
      <c r="AC222">
        <v>0.93</v>
      </c>
      <c r="AD222">
        <v>0.93</v>
      </c>
      <c r="AE222">
        <v>1.1000000000000001</v>
      </c>
      <c r="AF222">
        <v>0.5</v>
      </c>
      <c r="AG222" t="str">
        <f t="shared" si="248"/>
        <v>205</v>
      </c>
      <c r="AH222" t="str">
        <f t="shared" si="249"/>
        <v>（株）ムロコーポレーション</v>
      </c>
      <c r="AI222" t="str">
        <f>"009"</f>
        <v>009</v>
      </c>
      <c r="AJ222" t="str">
        <f>""</f>
        <v/>
      </c>
      <c r="AK222" t="str">
        <f>""</f>
        <v/>
      </c>
      <c r="AL222" t="str">
        <f t="shared" si="271"/>
        <v>0370</v>
      </c>
      <c r="AM222" t="str">
        <f t="shared" si="272"/>
        <v>ｼﾑ</v>
      </c>
      <c r="AN222" t="str">
        <f t="shared" si="250"/>
        <v>012</v>
      </c>
      <c r="AO222" t="str">
        <f t="shared" si="251"/>
        <v>TP-131 ﾊﾝﾖｳ</v>
      </c>
      <c r="AP222">
        <v>100</v>
      </c>
      <c r="AQ222" t="str">
        <f>""</f>
        <v/>
      </c>
      <c r="AR222" t="str">
        <f>""</f>
        <v/>
      </c>
      <c r="AS222" t="str">
        <f>""</f>
        <v/>
      </c>
      <c r="AT222" t="str">
        <f t="shared" si="252"/>
        <v>00</v>
      </c>
      <c r="AU222">
        <v>0.5</v>
      </c>
      <c r="AV222" t="str">
        <f>""</f>
        <v/>
      </c>
      <c r="AW222" t="str">
        <f t="shared" si="273"/>
        <v>06</v>
      </c>
      <c r="AX222" t="str">
        <f t="shared" si="274"/>
        <v>計画</v>
      </c>
      <c r="AY222" t="str">
        <f t="shared" si="275"/>
        <v>02</v>
      </c>
      <c r="AZ222" t="str">
        <f t="shared" si="276"/>
        <v>計画・２社</v>
      </c>
      <c r="BA222" t="str">
        <f>""</f>
        <v/>
      </c>
      <c r="BB222" t="str">
        <f t="shared" si="253"/>
        <v>ＴＰ１３１フタナシ</v>
      </c>
      <c r="BC222" t="str">
        <f t="shared" si="254"/>
        <v xml:space="preserve"> 335.000</v>
      </c>
      <c r="BD222" t="str">
        <f t="shared" si="255"/>
        <v xml:space="preserve"> 168.000</v>
      </c>
      <c r="BE222" t="str">
        <f t="shared" si="256"/>
        <v xml:space="preserve"> 103.000</v>
      </c>
      <c r="BF222" t="str">
        <f t="shared" si="257"/>
        <v xml:space="preserve">   0.006</v>
      </c>
      <c r="BG222" t="str">
        <f t="shared" si="280"/>
        <v xml:space="preserve">   1.410</v>
      </c>
      <c r="BH222" t="str">
        <f t="shared" si="221"/>
        <v>しない</v>
      </c>
      <c r="BI222" t="str">
        <f>""</f>
        <v/>
      </c>
      <c r="BJ222" t="str">
        <f t="shared" si="282"/>
        <v>MASTER01</v>
      </c>
      <c r="BK222" t="str">
        <f t="shared" si="281"/>
        <v>2023/01/17</v>
      </c>
      <c r="BL222" t="str">
        <f t="shared" si="268"/>
        <v>NE00</v>
      </c>
      <c r="BM222" t="str">
        <f t="shared" si="269"/>
        <v>１工工務Ｇ</v>
      </c>
      <c r="BN222" t="str">
        <f t="shared" si="278"/>
        <v>46548</v>
      </c>
      <c r="BO222" t="str">
        <f t="shared" si="279"/>
        <v>長畑　玲奈</v>
      </c>
    </row>
    <row r="223" spans="1:67">
      <c r="A223" t="s">
        <v>305</v>
      </c>
      <c r="B223" t="str">
        <f>""</f>
        <v/>
      </c>
      <c r="C223" t="str">
        <f>""</f>
        <v/>
      </c>
      <c r="D223" t="str">
        <f t="shared" si="270"/>
        <v>SHIM</v>
      </c>
      <c r="E223" t="str">
        <f t="shared" si="258"/>
        <v>1Y</v>
      </c>
      <c r="F223" t="str">
        <f t="shared" si="259"/>
        <v>第１工場</v>
      </c>
      <c r="G223" t="str">
        <f t="shared" si="260"/>
        <v>手配</v>
      </c>
      <c r="H223" t="str">
        <f t="shared" si="261"/>
        <v>Ｐ</v>
      </c>
      <c r="I223" t="str">
        <f t="shared" si="246"/>
        <v>6454</v>
      </c>
      <c r="J223" t="str">
        <f t="shared" si="247"/>
        <v>（株）ムロコーポレーション</v>
      </c>
      <c r="K223" t="str">
        <f t="shared" si="245"/>
        <v>01</v>
      </c>
      <c r="L223" t="str">
        <f>""</f>
        <v/>
      </c>
      <c r="M223" t="str">
        <f t="shared" si="222"/>
        <v>――</v>
      </c>
      <c r="N223" t="str">
        <f t="shared" si="222"/>
        <v>――</v>
      </c>
      <c r="O223" t="str">
        <f t="shared" si="262"/>
        <v>Ｍ</v>
      </c>
      <c r="P223" t="str">
        <f t="shared" si="263"/>
        <v>01</v>
      </c>
      <c r="Q223" t="str">
        <f t="shared" si="264"/>
        <v>第１</v>
      </c>
      <c r="R223" t="str">
        <f t="shared" si="265"/>
        <v>1Y</v>
      </c>
      <c r="S223" t="str">
        <f t="shared" si="266"/>
        <v>安城第１工場</v>
      </c>
      <c r="T223" t="str">
        <f t="shared" si="267"/>
        <v>直接</v>
      </c>
      <c r="U223" t="str">
        <f>""</f>
        <v/>
      </c>
      <c r="V223" t="str">
        <f>""</f>
        <v/>
      </c>
      <c r="W223" t="str">
        <f>""</f>
        <v/>
      </c>
      <c r="X223">
        <v>1</v>
      </c>
      <c r="Y223">
        <v>1</v>
      </c>
      <c r="Z223">
        <v>0.73</v>
      </c>
      <c r="AA223">
        <v>0.93</v>
      </c>
      <c r="AB223">
        <v>3</v>
      </c>
      <c r="AC223">
        <v>0.93</v>
      </c>
      <c r="AD223">
        <v>0.93</v>
      </c>
      <c r="AE223">
        <v>1.1000000000000001</v>
      </c>
      <c r="AF223">
        <v>0.5</v>
      </c>
      <c r="AG223" t="str">
        <f t="shared" si="248"/>
        <v>205</v>
      </c>
      <c r="AH223" t="str">
        <f t="shared" si="249"/>
        <v>（株）ムロコーポレーション</v>
      </c>
      <c r="AI223" t="str">
        <f>"010"</f>
        <v>010</v>
      </c>
      <c r="AJ223" t="str">
        <f>""</f>
        <v/>
      </c>
      <c r="AK223" t="str">
        <f>""</f>
        <v/>
      </c>
      <c r="AL223" t="str">
        <f t="shared" si="271"/>
        <v>0370</v>
      </c>
      <c r="AM223" t="str">
        <f t="shared" si="272"/>
        <v>ｼﾑ</v>
      </c>
      <c r="AN223" t="str">
        <f t="shared" si="250"/>
        <v>012</v>
      </c>
      <c r="AO223" t="str">
        <f t="shared" si="251"/>
        <v>TP-131 ﾊﾝﾖｳ</v>
      </c>
      <c r="AP223">
        <v>100</v>
      </c>
      <c r="AQ223" t="str">
        <f>""</f>
        <v/>
      </c>
      <c r="AR223" t="str">
        <f>""</f>
        <v/>
      </c>
      <c r="AS223" t="str">
        <f>""</f>
        <v/>
      </c>
      <c r="AT223" t="str">
        <f t="shared" si="252"/>
        <v>00</v>
      </c>
      <c r="AU223">
        <v>0.5</v>
      </c>
      <c r="AV223" t="str">
        <f>""</f>
        <v/>
      </c>
      <c r="AW223" t="str">
        <f t="shared" si="273"/>
        <v>06</v>
      </c>
      <c r="AX223" t="str">
        <f t="shared" si="274"/>
        <v>計画</v>
      </c>
      <c r="AY223" t="str">
        <f t="shared" si="275"/>
        <v>02</v>
      </c>
      <c r="AZ223" t="str">
        <f t="shared" si="276"/>
        <v>計画・２社</v>
      </c>
      <c r="BA223" t="str">
        <f>""</f>
        <v/>
      </c>
      <c r="BB223" t="str">
        <f t="shared" si="253"/>
        <v>ＴＰ１３１フタナシ</v>
      </c>
      <c r="BC223" t="str">
        <f t="shared" si="254"/>
        <v xml:space="preserve"> 335.000</v>
      </c>
      <c r="BD223" t="str">
        <f t="shared" si="255"/>
        <v xml:space="preserve"> 168.000</v>
      </c>
      <c r="BE223" t="str">
        <f t="shared" si="256"/>
        <v xml:space="preserve"> 103.000</v>
      </c>
      <c r="BF223" t="str">
        <f t="shared" si="257"/>
        <v xml:space="preserve">   0.006</v>
      </c>
      <c r="BG223" t="str">
        <f t="shared" si="280"/>
        <v xml:space="preserve">   1.410</v>
      </c>
      <c r="BH223" t="str">
        <f t="shared" si="221"/>
        <v>しない</v>
      </c>
      <c r="BI223" t="str">
        <f>""</f>
        <v/>
      </c>
      <c r="BJ223" t="str">
        <f t="shared" si="282"/>
        <v>MASTER01</v>
      </c>
      <c r="BK223" t="str">
        <f t="shared" si="281"/>
        <v>2023/01/17</v>
      </c>
      <c r="BL223" t="str">
        <f t="shared" si="268"/>
        <v>NE00</v>
      </c>
      <c r="BM223" t="str">
        <f t="shared" si="269"/>
        <v>１工工務Ｇ</v>
      </c>
      <c r="BN223" t="str">
        <f t="shared" si="278"/>
        <v>46548</v>
      </c>
      <c r="BO223" t="str">
        <f t="shared" si="279"/>
        <v>長畑　玲奈</v>
      </c>
    </row>
    <row r="224" spans="1:67">
      <c r="A224" t="s">
        <v>306</v>
      </c>
      <c r="B224" t="str">
        <f>""</f>
        <v/>
      </c>
      <c r="C224" t="str">
        <f>""</f>
        <v/>
      </c>
      <c r="D224" t="str">
        <f t="shared" si="270"/>
        <v>SHIM</v>
      </c>
      <c r="E224" t="str">
        <f t="shared" si="258"/>
        <v>1Y</v>
      </c>
      <c r="F224" t="str">
        <f t="shared" si="259"/>
        <v>第１工場</v>
      </c>
      <c r="G224" t="str">
        <f t="shared" si="260"/>
        <v>手配</v>
      </c>
      <c r="H224" t="str">
        <f t="shared" si="261"/>
        <v>Ｐ</v>
      </c>
      <c r="I224" t="str">
        <f t="shared" si="246"/>
        <v>6454</v>
      </c>
      <c r="J224" t="str">
        <f t="shared" si="247"/>
        <v>（株）ムロコーポレーション</v>
      </c>
      <c r="K224" t="str">
        <f t="shared" si="245"/>
        <v>01</v>
      </c>
      <c r="L224" t="str">
        <f>""</f>
        <v/>
      </c>
      <c r="M224" t="str">
        <f t="shared" si="222"/>
        <v>――</v>
      </c>
      <c r="N224" t="str">
        <f t="shared" si="222"/>
        <v>――</v>
      </c>
      <c r="O224" t="str">
        <f t="shared" si="262"/>
        <v>Ｍ</v>
      </c>
      <c r="P224" t="str">
        <f t="shared" si="263"/>
        <v>01</v>
      </c>
      <c r="Q224" t="str">
        <f t="shared" si="264"/>
        <v>第１</v>
      </c>
      <c r="R224" t="str">
        <f t="shared" si="265"/>
        <v>1Y</v>
      </c>
      <c r="S224" t="str">
        <f t="shared" si="266"/>
        <v>安城第１工場</v>
      </c>
      <c r="T224" t="str">
        <f t="shared" si="267"/>
        <v>直接</v>
      </c>
      <c r="U224" t="str">
        <f>""</f>
        <v/>
      </c>
      <c r="V224" t="str">
        <f>""</f>
        <v/>
      </c>
      <c r="W224" t="str">
        <f>""</f>
        <v/>
      </c>
      <c r="X224">
        <v>1</v>
      </c>
      <c r="Y224">
        <v>1</v>
      </c>
      <c r="Z224">
        <v>0.73</v>
      </c>
      <c r="AA224">
        <v>0.93</v>
      </c>
      <c r="AB224">
        <v>3</v>
      </c>
      <c r="AC224">
        <v>0.93</v>
      </c>
      <c r="AD224">
        <v>0.93</v>
      </c>
      <c r="AE224">
        <v>1.1000000000000001</v>
      </c>
      <c r="AF224">
        <v>0.5</v>
      </c>
      <c r="AG224" t="str">
        <f t="shared" si="248"/>
        <v>205</v>
      </c>
      <c r="AH224" t="str">
        <f t="shared" si="249"/>
        <v>（株）ムロコーポレーション</v>
      </c>
      <c r="AI224" t="str">
        <f>"011"</f>
        <v>011</v>
      </c>
      <c r="AJ224" t="str">
        <f>""</f>
        <v/>
      </c>
      <c r="AK224" t="str">
        <f>""</f>
        <v/>
      </c>
      <c r="AL224" t="str">
        <f t="shared" si="271"/>
        <v>0370</v>
      </c>
      <c r="AM224" t="str">
        <f t="shared" si="272"/>
        <v>ｼﾑ</v>
      </c>
      <c r="AN224" t="str">
        <f t="shared" si="250"/>
        <v>012</v>
      </c>
      <c r="AO224" t="str">
        <f t="shared" si="251"/>
        <v>TP-131 ﾊﾝﾖｳ</v>
      </c>
      <c r="AP224">
        <v>100</v>
      </c>
      <c r="AQ224" t="str">
        <f>""</f>
        <v/>
      </c>
      <c r="AR224" t="str">
        <f>""</f>
        <v/>
      </c>
      <c r="AS224" t="str">
        <f>""</f>
        <v/>
      </c>
      <c r="AT224" t="str">
        <f t="shared" si="252"/>
        <v>00</v>
      </c>
      <c r="AU224">
        <v>0.5</v>
      </c>
      <c r="AV224" t="str">
        <f>""</f>
        <v/>
      </c>
      <c r="AW224" t="str">
        <f t="shared" si="273"/>
        <v>06</v>
      </c>
      <c r="AX224" t="str">
        <f t="shared" si="274"/>
        <v>計画</v>
      </c>
      <c r="AY224" t="str">
        <f t="shared" si="275"/>
        <v>02</v>
      </c>
      <c r="AZ224" t="str">
        <f t="shared" si="276"/>
        <v>計画・２社</v>
      </c>
      <c r="BA224" t="str">
        <f>""</f>
        <v/>
      </c>
      <c r="BB224" t="str">
        <f t="shared" si="253"/>
        <v>ＴＰ１３１フタナシ</v>
      </c>
      <c r="BC224" t="str">
        <f t="shared" si="254"/>
        <v xml:space="preserve"> 335.000</v>
      </c>
      <c r="BD224" t="str">
        <f t="shared" si="255"/>
        <v xml:space="preserve"> 168.000</v>
      </c>
      <c r="BE224" t="str">
        <f t="shared" si="256"/>
        <v xml:space="preserve"> 103.000</v>
      </c>
      <c r="BF224" t="str">
        <f t="shared" si="257"/>
        <v xml:space="preserve">   0.006</v>
      </c>
      <c r="BG224" t="str">
        <f t="shared" si="280"/>
        <v xml:space="preserve">   1.410</v>
      </c>
      <c r="BH224" t="str">
        <f t="shared" si="221"/>
        <v>しない</v>
      </c>
      <c r="BI224" t="str">
        <f>""</f>
        <v/>
      </c>
      <c r="BJ224" t="str">
        <f t="shared" si="282"/>
        <v>MASTER01</v>
      </c>
      <c r="BK224" t="str">
        <f t="shared" si="281"/>
        <v>2023/01/17</v>
      </c>
      <c r="BL224" t="str">
        <f t="shared" si="268"/>
        <v>NE00</v>
      </c>
      <c r="BM224" t="str">
        <f t="shared" si="269"/>
        <v>１工工務Ｇ</v>
      </c>
      <c r="BN224" t="str">
        <f t="shared" si="278"/>
        <v>46548</v>
      </c>
      <c r="BO224" t="str">
        <f t="shared" si="279"/>
        <v>長畑　玲奈</v>
      </c>
    </row>
    <row r="225" spans="1:67">
      <c r="A225" t="s">
        <v>307</v>
      </c>
      <c r="B225" t="str">
        <f>""</f>
        <v/>
      </c>
      <c r="C225" t="str">
        <f>""</f>
        <v/>
      </c>
      <c r="D225" t="str">
        <f t="shared" si="270"/>
        <v>SHIM</v>
      </c>
      <c r="E225" t="str">
        <f t="shared" si="258"/>
        <v>1Y</v>
      </c>
      <c r="F225" t="str">
        <f t="shared" si="259"/>
        <v>第１工場</v>
      </c>
      <c r="G225" t="str">
        <f t="shared" si="260"/>
        <v>手配</v>
      </c>
      <c r="H225" t="str">
        <f t="shared" si="261"/>
        <v>Ｐ</v>
      </c>
      <c r="I225" t="str">
        <f t="shared" si="246"/>
        <v>6454</v>
      </c>
      <c r="J225" t="str">
        <f t="shared" si="247"/>
        <v>（株）ムロコーポレーション</v>
      </c>
      <c r="K225" t="str">
        <f t="shared" si="245"/>
        <v>01</v>
      </c>
      <c r="L225" t="str">
        <f>""</f>
        <v/>
      </c>
      <c r="M225" t="str">
        <f t="shared" si="222"/>
        <v>――</v>
      </c>
      <c r="N225" t="str">
        <f t="shared" si="222"/>
        <v>――</v>
      </c>
      <c r="O225" t="str">
        <f t="shared" si="262"/>
        <v>Ｍ</v>
      </c>
      <c r="P225" t="str">
        <f t="shared" si="263"/>
        <v>01</v>
      </c>
      <c r="Q225" t="str">
        <f t="shared" si="264"/>
        <v>第１</v>
      </c>
      <c r="R225" t="str">
        <f t="shared" si="265"/>
        <v>1Y</v>
      </c>
      <c r="S225" t="str">
        <f t="shared" si="266"/>
        <v>安城第１工場</v>
      </c>
      <c r="T225" t="str">
        <f t="shared" si="267"/>
        <v>直接</v>
      </c>
      <c r="U225" t="str">
        <f>""</f>
        <v/>
      </c>
      <c r="V225" t="str">
        <f>""</f>
        <v/>
      </c>
      <c r="W225" t="str">
        <f>""</f>
        <v/>
      </c>
      <c r="X225">
        <v>1</v>
      </c>
      <c r="Y225">
        <v>1</v>
      </c>
      <c r="Z225">
        <v>0.73</v>
      </c>
      <c r="AA225">
        <v>0.93</v>
      </c>
      <c r="AB225">
        <v>3</v>
      </c>
      <c r="AC225">
        <v>0.93</v>
      </c>
      <c r="AD225">
        <v>0.93</v>
      </c>
      <c r="AE225">
        <v>1.1000000000000001</v>
      </c>
      <c r="AF225">
        <v>0.5</v>
      </c>
      <c r="AG225" t="str">
        <f t="shared" si="248"/>
        <v>205</v>
      </c>
      <c r="AH225" t="str">
        <f t="shared" si="249"/>
        <v>（株）ムロコーポレーション</v>
      </c>
      <c r="AI225" t="str">
        <f>"012"</f>
        <v>012</v>
      </c>
      <c r="AJ225" t="str">
        <f>""</f>
        <v/>
      </c>
      <c r="AK225" t="str">
        <f>""</f>
        <v/>
      </c>
      <c r="AL225" t="str">
        <f t="shared" si="271"/>
        <v>0370</v>
      </c>
      <c r="AM225" t="str">
        <f t="shared" si="272"/>
        <v>ｼﾑ</v>
      </c>
      <c r="AN225" t="str">
        <f t="shared" si="250"/>
        <v>012</v>
      </c>
      <c r="AO225" t="str">
        <f t="shared" si="251"/>
        <v>TP-131 ﾊﾝﾖｳ</v>
      </c>
      <c r="AP225">
        <v>100</v>
      </c>
      <c r="AQ225" t="str">
        <f>""</f>
        <v/>
      </c>
      <c r="AR225" t="str">
        <f>""</f>
        <v/>
      </c>
      <c r="AS225" t="str">
        <f>""</f>
        <v/>
      </c>
      <c r="AT225" t="str">
        <f t="shared" si="252"/>
        <v>00</v>
      </c>
      <c r="AU225">
        <v>0.5</v>
      </c>
      <c r="AV225" t="str">
        <f>""</f>
        <v/>
      </c>
      <c r="AW225" t="str">
        <f t="shared" si="273"/>
        <v>06</v>
      </c>
      <c r="AX225" t="str">
        <f t="shared" si="274"/>
        <v>計画</v>
      </c>
      <c r="AY225" t="str">
        <f t="shared" si="275"/>
        <v>02</v>
      </c>
      <c r="AZ225" t="str">
        <f t="shared" si="276"/>
        <v>計画・２社</v>
      </c>
      <c r="BA225" t="str">
        <f>""</f>
        <v/>
      </c>
      <c r="BB225" t="str">
        <f t="shared" si="253"/>
        <v>ＴＰ１３１フタナシ</v>
      </c>
      <c r="BC225" t="str">
        <f t="shared" si="254"/>
        <v xml:space="preserve"> 335.000</v>
      </c>
      <c r="BD225" t="str">
        <f t="shared" si="255"/>
        <v xml:space="preserve"> 168.000</v>
      </c>
      <c r="BE225" t="str">
        <f t="shared" si="256"/>
        <v xml:space="preserve"> 103.000</v>
      </c>
      <c r="BF225" t="str">
        <f t="shared" si="257"/>
        <v xml:space="preserve">   0.006</v>
      </c>
      <c r="BG225" t="str">
        <f t="shared" si="280"/>
        <v xml:space="preserve">   1.410</v>
      </c>
      <c r="BH225" t="str">
        <f t="shared" si="221"/>
        <v>しない</v>
      </c>
      <c r="BI225" t="str">
        <f>""</f>
        <v/>
      </c>
      <c r="BJ225" t="str">
        <f t="shared" si="282"/>
        <v>MASTER01</v>
      </c>
      <c r="BK225" t="str">
        <f t="shared" si="281"/>
        <v>2023/01/17</v>
      </c>
      <c r="BL225" t="str">
        <f t="shared" si="268"/>
        <v>NE00</v>
      </c>
      <c r="BM225" t="str">
        <f t="shared" si="269"/>
        <v>１工工務Ｇ</v>
      </c>
      <c r="BN225" t="str">
        <f t="shared" si="278"/>
        <v>46548</v>
      </c>
      <c r="BO225" t="str">
        <f t="shared" si="279"/>
        <v>長畑　玲奈</v>
      </c>
    </row>
    <row r="226" spans="1:67">
      <c r="A226" t="s">
        <v>308</v>
      </c>
      <c r="B226" t="str">
        <f>""</f>
        <v/>
      </c>
      <c r="C226" t="str">
        <f>""</f>
        <v/>
      </c>
      <c r="D226" t="str">
        <f t="shared" si="270"/>
        <v>SHIM</v>
      </c>
      <c r="E226" t="str">
        <f t="shared" si="258"/>
        <v>1Y</v>
      </c>
      <c r="F226" t="str">
        <f t="shared" si="259"/>
        <v>第１工場</v>
      </c>
      <c r="G226" t="str">
        <f t="shared" si="260"/>
        <v>手配</v>
      </c>
      <c r="H226" t="str">
        <f t="shared" si="261"/>
        <v>Ｐ</v>
      </c>
      <c r="I226" t="str">
        <f t="shared" si="246"/>
        <v>6454</v>
      </c>
      <c r="J226" t="str">
        <f t="shared" si="247"/>
        <v>（株）ムロコーポレーション</v>
      </c>
      <c r="K226" t="str">
        <f t="shared" si="245"/>
        <v>01</v>
      </c>
      <c r="L226" t="str">
        <f>""</f>
        <v/>
      </c>
      <c r="M226" t="str">
        <f t="shared" si="222"/>
        <v>――</v>
      </c>
      <c r="N226" t="str">
        <f t="shared" si="222"/>
        <v>――</v>
      </c>
      <c r="O226" t="str">
        <f t="shared" si="262"/>
        <v>Ｍ</v>
      </c>
      <c r="P226" t="str">
        <f t="shared" si="263"/>
        <v>01</v>
      </c>
      <c r="Q226" t="str">
        <f t="shared" si="264"/>
        <v>第１</v>
      </c>
      <c r="R226" t="str">
        <f t="shared" si="265"/>
        <v>1Y</v>
      </c>
      <c r="S226" t="str">
        <f t="shared" si="266"/>
        <v>安城第１工場</v>
      </c>
      <c r="T226" t="str">
        <f t="shared" si="267"/>
        <v>直接</v>
      </c>
      <c r="U226" t="str">
        <f>""</f>
        <v/>
      </c>
      <c r="V226" t="str">
        <f>""</f>
        <v/>
      </c>
      <c r="W226" t="str">
        <f>""</f>
        <v/>
      </c>
      <c r="X226">
        <v>1</v>
      </c>
      <c r="Y226">
        <v>1</v>
      </c>
      <c r="Z226">
        <v>0.73</v>
      </c>
      <c r="AA226">
        <v>0.93</v>
      </c>
      <c r="AB226">
        <v>3</v>
      </c>
      <c r="AC226">
        <v>0.93</v>
      </c>
      <c r="AD226">
        <v>0.93</v>
      </c>
      <c r="AE226">
        <v>1.1000000000000001</v>
      </c>
      <c r="AF226">
        <v>0.5</v>
      </c>
      <c r="AG226" t="str">
        <f t="shared" si="248"/>
        <v>205</v>
      </c>
      <c r="AH226" t="str">
        <f t="shared" si="249"/>
        <v>（株）ムロコーポレーション</v>
      </c>
      <c r="AI226" t="str">
        <f>"013"</f>
        <v>013</v>
      </c>
      <c r="AJ226" t="str">
        <f>""</f>
        <v/>
      </c>
      <c r="AK226" t="str">
        <f>""</f>
        <v/>
      </c>
      <c r="AL226" t="str">
        <f t="shared" si="271"/>
        <v>0370</v>
      </c>
      <c r="AM226" t="str">
        <f t="shared" si="272"/>
        <v>ｼﾑ</v>
      </c>
      <c r="AN226" t="str">
        <f t="shared" si="250"/>
        <v>012</v>
      </c>
      <c r="AO226" t="str">
        <f t="shared" si="251"/>
        <v>TP-131 ﾊﾝﾖｳ</v>
      </c>
      <c r="AP226">
        <v>100</v>
      </c>
      <c r="AQ226" t="str">
        <f>""</f>
        <v/>
      </c>
      <c r="AR226" t="str">
        <f>""</f>
        <v/>
      </c>
      <c r="AS226" t="str">
        <f>""</f>
        <v/>
      </c>
      <c r="AT226" t="str">
        <f t="shared" si="252"/>
        <v>00</v>
      </c>
      <c r="AU226">
        <v>0.5</v>
      </c>
      <c r="AV226" t="str">
        <f>""</f>
        <v/>
      </c>
      <c r="AW226" t="str">
        <f t="shared" si="273"/>
        <v>06</v>
      </c>
      <c r="AX226" t="str">
        <f t="shared" si="274"/>
        <v>計画</v>
      </c>
      <c r="AY226" t="str">
        <f t="shared" si="275"/>
        <v>02</v>
      </c>
      <c r="AZ226" t="str">
        <f t="shared" si="276"/>
        <v>計画・２社</v>
      </c>
      <c r="BA226" t="str">
        <f>""</f>
        <v/>
      </c>
      <c r="BB226" t="str">
        <f t="shared" si="253"/>
        <v>ＴＰ１３１フタナシ</v>
      </c>
      <c r="BC226" t="str">
        <f t="shared" si="254"/>
        <v xml:space="preserve"> 335.000</v>
      </c>
      <c r="BD226" t="str">
        <f t="shared" si="255"/>
        <v xml:space="preserve"> 168.000</v>
      </c>
      <c r="BE226" t="str">
        <f t="shared" si="256"/>
        <v xml:space="preserve"> 103.000</v>
      </c>
      <c r="BF226" t="str">
        <f t="shared" si="257"/>
        <v xml:space="preserve">   0.006</v>
      </c>
      <c r="BG226" t="str">
        <f t="shared" si="280"/>
        <v xml:space="preserve">   1.410</v>
      </c>
      <c r="BH226" t="str">
        <f t="shared" si="221"/>
        <v>しない</v>
      </c>
      <c r="BI226" t="str">
        <f>""</f>
        <v/>
      </c>
      <c r="BJ226" t="str">
        <f t="shared" si="282"/>
        <v>MASTER01</v>
      </c>
      <c r="BK226" t="str">
        <f t="shared" si="281"/>
        <v>2023/01/17</v>
      </c>
      <c r="BL226" t="str">
        <f t="shared" si="268"/>
        <v>NE00</v>
      </c>
      <c r="BM226" t="str">
        <f t="shared" si="269"/>
        <v>１工工務Ｇ</v>
      </c>
      <c r="BN226" t="str">
        <f t="shared" si="278"/>
        <v>46548</v>
      </c>
      <c r="BO226" t="str">
        <f t="shared" si="279"/>
        <v>長畑　玲奈</v>
      </c>
    </row>
    <row r="227" spans="1:67">
      <c r="A227" t="s">
        <v>309</v>
      </c>
      <c r="B227" t="str">
        <f>""</f>
        <v/>
      </c>
      <c r="C227" t="str">
        <f>""</f>
        <v/>
      </c>
      <c r="D227" t="str">
        <f t="shared" si="270"/>
        <v>SHIM</v>
      </c>
      <c r="E227" t="str">
        <f t="shared" si="258"/>
        <v>1Y</v>
      </c>
      <c r="F227" t="str">
        <f t="shared" si="259"/>
        <v>第１工場</v>
      </c>
      <c r="G227" t="str">
        <f t="shared" si="260"/>
        <v>手配</v>
      </c>
      <c r="H227" t="str">
        <f t="shared" si="261"/>
        <v>Ｐ</v>
      </c>
      <c r="I227" t="str">
        <f t="shared" si="246"/>
        <v>6454</v>
      </c>
      <c r="J227" t="str">
        <f t="shared" si="247"/>
        <v>（株）ムロコーポレーション</v>
      </c>
      <c r="K227" t="str">
        <f t="shared" si="245"/>
        <v>01</v>
      </c>
      <c r="L227" t="str">
        <f>""</f>
        <v/>
      </c>
      <c r="M227" t="str">
        <f t="shared" si="222"/>
        <v>――</v>
      </c>
      <c r="N227" t="str">
        <f t="shared" si="222"/>
        <v>――</v>
      </c>
      <c r="O227" t="str">
        <f t="shared" si="262"/>
        <v>Ｍ</v>
      </c>
      <c r="P227" t="str">
        <f t="shared" si="263"/>
        <v>01</v>
      </c>
      <c r="Q227" t="str">
        <f t="shared" si="264"/>
        <v>第１</v>
      </c>
      <c r="R227" t="str">
        <f t="shared" si="265"/>
        <v>1Y</v>
      </c>
      <c r="S227" t="str">
        <f t="shared" si="266"/>
        <v>安城第１工場</v>
      </c>
      <c r="T227" t="str">
        <f t="shared" si="267"/>
        <v>直接</v>
      </c>
      <c r="U227" t="str">
        <f>""</f>
        <v/>
      </c>
      <c r="V227" t="str">
        <f>""</f>
        <v/>
      </c>
      <c r="W227" t="str">
        <f>""</f>
        <v/>
      </c>
      <c r="X227">
        <v>1</v>
      </c>
      <c r="Y227">
        <v>1</v>
      </c>
      <c r="Z227">
        <v>0.73</v>
      </c>
      <c r="AA227">
        <v>0.93</v>
      </c>
      <c r="AB227">
        <v>3</v>
      </c>
      <c r="AC227">
        <v>0.93</v>
      </c>
      <c r="AD227">
        <v>0.93</v>
      </c>
      <c r="AE227">
        <v>1.1000000000000001</v>
      </c>
      <c r="AF227">
        <v>0.5</v>
      </c>
      <c r="AG227" t="str">
        <f t="shared" si="248"/>
        <v>205</v>
      </c>
      <c r="AH227" t="str">
        <f t="shared" si="249"/>
        <v>（株）ムロコーポレーション</v>
      </c>
      <c r="AI227" t="str">
        <f>"014"</f>
        <v>014</v>
      </c>
      <c r="AJ227" t="str">
        <f>""</f>
        <v/>
      </c>
      <c r="AK227" t="str">
        <f>""</f>
        <v/>
      </c>
      <c r="AL227" t="str">
        <f t="shared" si="271"/>
        <v>0370</v>
      </c>
      <c r="AM227" t="str">
        <f t="shared" si="272"/>
        <v>ｼﾑ</v>
      </c>
      <c r="AN227" t="str">
        <f t="shared" si="250"/>
        <v>012</v>
      </c>
      <c r="AO227" t="str">
        <f t="shared" si="251"/>
        <v>TP-131 ﾊﾝﾖｳ</v>
      </c>
      <c r="AP227">
        <v>100</v>
      </c>
      <c r="AQ227" t="str">
        <f>""</f>
        <v/>
      </c>
      <c r="AR227" t="str">
        <f>""</f>
        <v/>
      </c>
      <c r="AS227" t="str">
        <f>""</f>
        <v/>
      </c>
      <c r="AT227" t="str">
        <f t="shared" si="252"/>
        <v>00</v>
      </c>
      <c r="AU227">
        <v>0.5</v>
      </c>
      <c r="AV227" t="str">
        <f>""</f>
        <v/>
      </c>
      <c r="AW227" t="str">
        <f t="shared" si="273"/>
        <v>06</v>
      </c>
      <c r="AX227" t="str">
        <f t="shared" si="274"/>
        <v>計画</v>
      </c>
      <c r="AY227" t="str">
        <f t="shared" si="275"/>
        <v>02</v>
      </c>
      <c r="AZ227" t="str">
        <f t="shared" si="276"/>
        <v>計画・２社</v>
      </c>
      <c r="BA227" t="str">
        <f>""</f>
        <v/>
      </c>
      <c r="BB227" t="str">
        <f t="shared" si="253"/>
        <v>ＴＰ１３１フタナシ</v>
      </c>
      <c r="BC227" t="str">
        <f t="shared" si="254"/>
        <v xml:space="preserve"> 335.000</v>
      </c>
      <c r="BD227" t="str">
        <f t="shared" si="255"/>
        <v xml:space="preserve"> 168.000</v>
      </c>
      <c r="BE227" t="str">
        <f t="shared" si="256"/>
        <v xml:space="preserve"> 103.000</v>
      </c>
      <c r="BF227" t="str">
        <f t="shared" si="257"/>
        <v xml:space="preserve">   0.006</v>
      </c>
      <c r="BG227" t="str">
        <f t="shared" si="280"/>
        <v xml:space="preserve">   1.410</v>
      </c>
      <c r="BH227" t="str">
        <f t="shared" ref="BH227:BH290" si="283">"しない"</f>
        <v>しない</v>
      </c>
      <c r="BI227" t="str">
        <f>""</f>
        <v/>
      </c>
      <c r="BJ227" t="str">
        <f t="shared" si="282"/>
        <v>MASTER01</v>
      </c>
      <c r="BK227" t="str">
        <f t="shared" si="281"/>
        <v>2023/01/17</v>
      </c>
      <c r="BL227" t="str">
        <f t="shared" si="268"/>
        <v>NE00</v>
      </c>
      <c r="BM227" t="str">
        <f t="shared" si="269"/>
        <v>１工工務Ｇ</v>
      </c>
      <c r="BN227" t="str">
        <f t="shared" si="278"/>
        <v>46548</v>
      </c>
      <c r="BO227" t="str">
        <f t="shared" si="279"/>
        <v>長畑　玲奈</v>
      </c>
    </row>
    <row r="228" spans="1:67">
      <c r="A228" t="s">
        <v>310</v>
      </c>
      <c r="B228" t="str">
        <f>""</f>
        <v/>
      </c>
      <c r="C228" t="str">
        <f>""</f>
        <v/>
      </c>
      <c r="D228" t="str">
        <f t="shared" si="270"/>
        <v>SHIM</v>
      </c>
      <c r="E228" t="str">
        <f t="shared" si="258"/>
        <v>1Y</v>
      </c>
      <c r="F228" t="str">
        <f t="shared" si="259"/>
        <v>第１工場</v>
      </c>
      <c r="G228" t="str">
        <f t="shared" si="260"/>
        <v>手配</v>
      </c>
      <c r="H228" t="str">
        <f t="shared" si="261"/>
        <v>Ｐ</v>
      </c>
      <c r="I228" t="str">
        <f t="shared" si="246"/>
        <v>6454</v>
      </c>
      <c r="J228" t="str">
        <f t="shared" si="247"/>
        <v>（株）ムロコーポレーション</v>
      </c>
      <c r="K228" t="str">
        <f t="shared" si="245"/>
        <v>01</v>
      </c>
      <c r="L228" t="str">
        <f>""</f>
        <v/>
      </c>
      <c r="M228" t="str">
        <f t="shared" si="222"/>
        <v>――</v>
      </c>
      <c r="N228" t="str">
        <f t="shared" si="222"/>
        <v>――</v>
      </c>
      <c r="O228" t="str">
        <f t="shared" si="262"/>
        <v>Ｍ</v>
      </c>
      <c r="P228" t="str">
        <f t="shared" si="263"/>
        <v>01</v>
      </c>
      <c r="Q228" t="str">
        <f t="shared" si="264"/>
        <v>第１</v>
      </c>
      <c r="R228" t="str">
        <f t="shared" si="265"/>
        <v>1Y</v>
      </c>
      <c r="S228" t="str">
        <f t="shared" si="266"/>
        <v>安城第１工場</v>
      </c>
      <c r="T228" t="str">
        <f t="shared" si="267"/>
        <v>直接</v>
      </c>
      <c r="U228" t="str">
        <f>""</f>
        <v/>
      </c>
      <c r="V228" t="str">
        <f>""</f>
        <v/>
      </c>
      <c r="W228" t="str">
        <f>""</f>
        <v/>
      </c>
      <c r="X228">
        <v>1</v>
      </c>
      <c r="Y228">
        <v>1</v>
      </c>
      <c r="Z228">
        <v>0.73</v>
      </c>
      <c r="AA228">
        <v>0.93</v>
      </c>
      <c r="AB228">
        <v>3</v>
      </c>
      <c r="AC228">
        <v>0.93</v>
      </c>
      <c r="AD228">
        <v>0.93</v>
      </c>
      <c r="AE228">
        <v>1.1000000000000001</v>
      </c>
      <c r="AF228">
        <v>0.5</v>
      </c>
      <c r="AG228" t="str">
        <f t="shared" si="248"/>
        <v>205</v>
      </c>
      <c r="AH228" t="str">
        <f t="shared" si="249"/>
        <v>（株）ムロコーポレーション</v>
      </c>
      <c r="AI228" t="str">
        <f>"015"</f>
        <v>015</v>
      </c>
      <c r="AJ228" t="str">
        <f>""</f>
        <v/>
      </c>
      <c r="AK228" t="str">
        <f>""</f>
        <v/>
      </c>
      <c r="AL228" t="str">
        <f t="shared" si="271"/>
        <v>0370</v>
      </c>
      <c r="AM228" t="str">
        <f t="shared" si="272"/>
        <v>ｼﾑ</v>
      </c>
      <c r="AN228" t="str">
        <f t="shared" si="250"/>
        <v>012</v>
      </c>
      <c r="AO228" t="str">
        <f t="shared" si="251"/>
        <v>TP-131 ﾊﾝﾖｳ</v>
      </c>
      <c r="AP228">
        <v>100</v>
      </c>
      <c r="AQ228" t="str">
        <f>""</f>
        <v/>
      </c>
      <c r="AR228" t="str">
        <f>""</f>
        <v/>
      </c>
      <c r="AS228" t="str">
        <f>""</f>
        <v/>
      </c>
      <c r="AT228" t="str">
        <f t="shared" si="252"/>
        <v>00</v>
      </c>
      <c r="AU228">
        <v>0.5</v>
      </c>
      <c r="AV228" t="str">
        <f>""</f>
        <v/>
      </c>
      <c r="AW228" t="str">
        <f t="shared" si="273"/>
        <v>06</v>
      </c>
      <c r="AX228" t="str">
        <f t="shared" si="274"/>
        <v>計画</v>
      </c>
      <c r="AY228" t="str">
        <f t="shared" si="275"/>
        <v>02</v>
      </c>
      <c r="AZ228" t="str">
        <f t="shared" si="276"/>
        <v>計画・２社</v>
      </c>
      <c r="BA228" t="str">
        <f>""</f>
        <v/>
      </c>
      <c r="BB228" t="str">
        <f t="shared" si="253"/>
        <v>ＴＰ１３１フタナシ</v>
      </c>
      <c r="BC228" t="str">
        <f t="shared" si="254"/>
        <v xml:space="preserve"> 335.000</v>
      </c>
      <c r="BD228" t="str">
        <f t="shared" si="255"/>
        <v xml:space="preserve"> 168.000</v>
      </c>
      <c r="BE228" t="str">
        <f t="shared" si="256"/>
        <v xml:space="preserve"> 103.000</v>
      </c>
      <c r="BF228" t="str">
        <f t="shared" si="257"/>
        <v xml:space="preserve">   0.006</v>
      </c>
      <c r="BG228" t="str">
        <f t="shared" si="280"/>
        <v xml:space="preserve">   1.410</v>
      </c>
      <c r="BH228" t="str">
        <f t="shared" si="283"/>
        <v>しない</v>
      </c>
      <c r="BI228" t="str">
        <f>""</f>
        <v/>
      </c>
      <c r="BJ228" t="str">
        <f t="shared" si="282"/>
        <v>MASTER01</v>
      </c>
      <c r="BK228" t="str">
        <f t="shared" si="281"/>
        <v>2023/01/17</v>
      </c>
      <c r="BL228" t="str">
        <f t="shared" si="268"/>
        <v>NE00</v>
      </c>
      <c r="BM228" t="str">
        <f t="shared" si="269"/>
        <v>１工工務Ｇ</v>
      </c>
      <c r="BN228" t="str">
        <f t="shared" si="278"/>
        <v>46548</v>
      </c>
      <c r="BO228" t="str">
        <f t="shared" si="279"/>
        <v>長畑　玲奈</v>
      </c>
    </row>
    <row r="229" spans="1:67">
      <c r="A229" t="s">
        <v>311</v>
      </c>
      <c r="B229" t="str">
        <f>""</f>
        <v/>
      </c>
      <c r="C229" t="str">
        <f>""</f>
        <v/>
      </c>
      <c r="D229" t="str">
        <f t="shared" si="270"/>
        <v>SHIM</v>
      </c>
      <c r="E229" t="str">
        <f t="shared" si="258"/>
        <v>1Y</v>
      </c>
      <c r="F229" t="str">
        <f t="shared" si="259"/>
        <v>第１工場</v>
      </c>
      <c r="G229" t="str">
        <f t="shared" si="260"/>
        <v>手配</v>
      </c>
      <c r="H229" t="str">
        <f t="shared" si="261"/>
        <v>Ｐ</v>
      </c>
      <c r="I229" t="str">
        <f t="shared" si="246"/>
        <v>6454</v>
      </c>
      <c r="J229" t="str">
        <f t="shared" si="247"/>
        <v>（株）ムロコーポレーション</v>
      </c>
      <c r="K229" t="str">
        <f t="shared" si="245"/>
        <v>01</v>
      </c>
      <c r="L229" t="str">
        <f>""</f>
        <v/>
      </c>
      <c r="M229" t="str">
        <f t="shared" ref="M229:N292" si="284">"――"</f>
        <v>――</v>
      </c>
      <c r="N229" t="str">
        <f t="shared" si="284"/>
        <v>――</v>
      </c>
      <c r="O229" t="str">
        <f t="shared" si="262"/>
        <v>Ｍ</v>
      </c>
      <c r="P229" t="str">
        <f t="shared" si="263"/>
        <v>01</v>
      </c>
      <c r="Q229" t="str">
        <f t="shared" si="264"/>
        <v>第１</v>
      </c>
      <c r="R229" t="str">
        <f t="shared" si="265"/>
        <v>1Y</v>
      </c>
      <c r="S229" t="str">
        <f t="shared" si="266"/>
        <v>安城第１工場</v>
      </c>
      <c r="T229" t="str">
        <f t="shared" si="267"/>
        <v>直接</v>
      </c>
      <c r="U229" t="str">
        <f>""</f>
        <v/>
      </c>
      <c r="V229" t="str">
        <f>""</f>
        <v/>
      </c>
      <c r="W229" t="str">
        <f>""</f>
        <v/>
      </c>
      <c r="X229">
        <v>1</v>
      </c>
      <c r="Y229">
        <v>1</v>
      </c>
      <c r="Z229">
        <v>0.73</v>
      </c>
      <c r="AA229">
        <v>0.93</v>
      </c>
      <c r="AB229">
        <v>3</v>
      </c>
      <c r="AC229">
        <v>0.93</v>
      </c>
      <c r="AD229">
        <v>0.93</v>
      </c>
      <c r="AE229">
        <v>1.1000000000000001</v>
      </c>
      <c r="AF229">
        <v>0.5</v>
      </c>
      <c r="AG229" t="str">
        <f t="shared" si="248"/>
        <v>205</v>
      </c>
      <c r="AH229" t="str">
        <f t="shared" si="249"/>
        <v>（株）ムロコーポレーション</v>
      </c>
      <c r="AI229" t="str">
        <f>"016"</f>
        <v>016</v>
      </c>
      <c r="AJ229" t="str">
        <f>""</f>
        <v/>
      </c>
      <c r="AK229" t="str">
        <f>""</f>
        <v/>
      </c>
      <c r="AL229" t="str">
        <f t="shared" si="271"/>
        <v>0370</v>
      </c>
      <c r="AM229" t="str">
        <f t="shared" si="272"/>
        <v>ｼﾑ</v>
      </c>
      <c r="AN229" t="str">
        <f t="shared" si="250"/>
        <v>012</v>
      </c>
      <c r="AO229" t="str">
        <f t="shared" si="251"/>
        <v>TP-131 ﾊﾝﾖｳ</v>
      </c>
      <c r="AP229">
        <v>100</v>
      </c>
      <c r="AQ229" t="str">
        <f>""</f>
        <v/>
      </c>
      <c r="AR229" t="str">
        <f>""</f>
        <v/>
      </c>
      <c r="AS229" t="str">
        <f>""</f>
        <v/>
      </c>
      <c r="AT229" t="str">
        <f t="shared" si="252"/>
        <v>00</v>
      </c>
      <c r="AU229">
        <v>0.5</v>
      </c>
      <c r="AV229" t="str">
        <f>""</f>
        <v/>
      </c>
      <c r="AW229" t="str">
        <f t="shared" si="273"/>
        <v>06</v>
      </c>
      <c r="AX229" t="str">
        <f t="shared" si="274"/>
        <v>計画</v>
      </c>
      <c r="AY229" t="str">
        <f t="shared" si="275"/>
        <v>02</v>
      </c>
      <c r="AZ229" t="str">
        <f t="shared" si="276"/>
        <v>計画・２社</v>
      </c>
      <c r="BA229" t="str">
        <f>""</f>
        <v/>
      </c>
      <c r="BB229" t="str">
        <f t="shared" si="253"/>
        <v>ＴＰ１３１フタナシ</v>
      </c>
      <c r="BC229" t="str">
        <f t="shared" si="254"/>
        <v xml:space="preserve"> 335.000</v>
      </c>
      <c r="BD229" t="str">
        <f t="shared" si="255"/>
        <v xml:space="preserve"> 168.000</v>
      </c>
      <c r="BE229" t="str">
        <f t="shared" si="256"/>
        <v xml:space="preserve"> 103.000</v>
      </c>
      <c r="BF229" t="str">
        <f t="shared" si="257"/>
        <v xml:space="preserve">   0.006</v>
      </c>
      <c r="BG229" t="str">
        <f t="shared" si="280"/>
        <v xml:space="preserve">   1.410</v>
      </c>
      <c r="BH229" t="str">
        <f t="shared" si="283"/>
        <v>しない</v>
      </c>
      <c r="BI229" t="str">
        <f>""</f>
        <v/>
      </c>
      <c r="BJ229" t="str">
        <f t="shared" si="282"/>
        <v>MASTER01</v>
      </c>
      <c r="BK229" t="str">
        <f t="shared" si="281"/>
        <v>2023/01/17</v>
      </c>
      <c r="BL229" t="str">
        <f t="shared" si="268"/>
        <v>NE00</v>
      </c>
      <c r="BM229" t="str">
        <f t="shared" si="269"/>
        <v>１工工務Ｇ</v>
      </c>
      <c r="BN229" t="str">
        <f t="shared" si="278"/>
        <v>46548</v>
      </c>
      <c r="BO229" t="str">
        <f t="shared" si="279"/>
        <v>長畑　玲奈</v>
      </c>
    </row>
    <row r="230" spans="1:67">
      <c r="A230" t="s">
        <v>312</v>
      </c>
      <c r="B230" t="str">
        <f>""</f>
        <v/>
      </c>
      <c r="C230" t="str">
        <f>""</f>
        <v/>
      </c>
      <c r="D230" t="str">
        <f t="shared" si="270"/>
        <v>SHIM</v>
      </c>
      <c r="E230" t="str">
        <f t="shared" si="258"/>
        <v>1Y</v>
      </c>
      <c r="F230" t="str">
        <f t="shared" si="259"/>
        <v>第１工場</v>
      </c>
      <c r="G230" t="str">
        <f t="shared" si="260"/>
        <v>手配</v>
      </c>
      <c r="H230" t="str">
        <f t="shared" si="261"/>
        <v>Ｐ</v>
      </c>
      <c r="I230" t="str">
        <f t="shared" si="246"/>
        <v>6454</v>
      </c>
      <c r="J230" t="str">
        <f t="shared" si="247"/>
        <v>（株）ムロコーポレーション</v>
      </c>
      <c r="K230" t="str">
        <f t="shared" si="245"/>
        <v>01</v>
      </c>
      <c r="L230" t="str">
        <f>""</f>
        <v/>
      </c>
      <c r="M230" t="str">
        <f t="shared" si="284"/>
        <v>――</v>
      </c>
      <c r="N230" t="str">
        <f t="shared" si="284"/>
        <v>――</v>
      </c>
      <c r="O230" t="str">
        <f t="shared" si="262"/>
        <v>Ｍ</v>
      </c>
      <c r="P230" t="str">
        <f t="shared" si="263"/>
        <v>01</v>
      </c>
      <c r="Q230" t="str">
        <f t="shared" si="264"/>
        <v>第１</v>
      </c>
      <c r="R230" t="str">
        <f t="shared" si="265"/>
        <v>1Y</v>
      </c>
      <c r="S230" t="str">
        <f t="shared" si="266"/>
        <v>安城第１工場</v>
      </c>
      <c r="T230" t="str">
        <f t="shared" si="267"/>
        <v>直接</v>
      </c>
      <c r="U230" t="str">
        <f>""</f>
        <v/>
      </c>
      <c r="V230" t="str">
        <f>""</f>
        <v/>
      </c>
      <c r="W230" t="str">
        <f>""</f>
        <v/>
      </c>
      <c r="X230">
        <v>1</v>
      </c>
      <c r="Y230">
        <v>1</v>
      </c>
      <c r="Z230">
        <v>0.73</v>
      </c>
      <c r="AA230">
        <v>0.93</v>
      </c>
      <c r="AB230">
        <v>3</v>
      </c>
      <c r="AC230">
        <v>0.93</v>
      </c>
      <c r="AD230">
        <v>0.93</v>
      </c>
      <c r="AE230">
        <v>1.1000000000000001</v>
      </c>
      <c r="AF230">
        <v>0.5</v>
      </c>
      <c r="AG230" t="str">
        <f t="shared" si="248"/>
        <v>205</v>
      </c>
      <c r="AH230" t="str">
        <f t="shared" si="249"/>
        <v>（株）ムロコーポレーション</v>
      </c>
      <c r="AI230" t="str">
        <f>"017"</f>
        <v>017</v>
      </c>
      <c r="AJ230" t="str">
        <f>""</f>
        <v/>
      </c>
      <c r="AK230" t="str">
        <f>""</f>
        <v/>
      </c>
      <c r="AL230" t="str">
        <f t="shared" si="271"/>
        <v>0370</v>
      </c>
      <c r="AM230" t="str">
        <f t="shared" si="272"/>
        <v>ｼﾑ</v>
      </c>
      <c r="AN230" t="str">
        <f t="shared" si="250"/>
        <v>012</v>
      </c>
      <c r="AO230" t="str">
        <f t="shared" si="251"/>
        <v>TP-131 ﾊﾝﾖｳ</v>
      </c>
      <c r="AP230">
        <v>100</v>
      </c>
      <c r="AQ230" t="str">
        <f>""</f>
        <v/>
      </c>
      <c r="AR230" t="str">
        <f>""</f>
        <v/>
      </c>
      <c r="AS230" t="str">
        <f>""</f>
        <v/>
      </c>
      <c r="AT230" t="str">
        <f t="shared" si="252"/>
        <v>00</v>
      </c>
      <c r="AU230">
        <v>0.5</v>
      </c>
      <c r="AV230" t="str">
        <f>""</f>
        <v/>
      </c>
      <c r="AW230" t="str">
        <f t="shared" si="273"/>
        <v>06</v>
      </c>
      <c r="AX230" t="str">
        <f t="shared" si="274"/>
        <v>計画</v>
      </c>
      <c r="AY230" t="str">
        <f t="shared" si="275"/>
        <v>02</v>
      </c>
      <c r="AZ230" t="str">
        <f t="shared" si="276"/>
        <v>計画・２社</v>
      </c>
      <c r="BA230" t="str">
        <f>""</f>
        <v/>
      </c>
      <c r="BB230" t="str">
        <f t="shared" si="253"/>
        <v>ＴＰ１３１フタナシ</v>
      </c>
      <c r="BC230" t="str">
        <f t="shared" si="254"/>
        <v xml:space="preserve"> 335.000</v>
      </c>
      <c r="BD230" t="str">
        <f t="shared" si="255"/>
        <v xml:space="preserve"> 168.000</v>
      </c>
      <c r="BE230" t="str">
        <f t="shared" si="256"/>
        <v xml:space="preserve"> 103.000</v>
      </c>
      <c r="BF230" t="str">
        <f t="shared" si="257"/>
        <v xml:space="preserve">   0.006</v>
      </c>
      <c r="BG230" t="str">
        <f t="shared" si="280"/>
        <v xml:space="preserve">   1.410</v>
      </c>
      <c r="BH230" t="str">
        <f t="shared" si="283"/>
        <v>しない</v>
      </c>
      <c r="BI230" t="str">
        <f>""</f>
        <v/>
      </c>
      <c r="BJ230" t="str">
        <f t="shared" si="282"/>
        <v>MASTER01</v>
      </c>
      <c r="BK230" t="str">
        <f t="shared" si="281"/>
        <v>2023/01/17</v>
      </c>
      <c r="BL230" t="str">
        <f t="shared" si="268"/>
        <v>NE00</v>
      </c>
      <c r="BM230" t="str">
        <f t="shared" si="269"/>
        <v>１工工務Ｇ</v>
      </c>
      <c r="BN230" t="str">
        <f t="shared" si="278"/>
        <v>46548</v>
      </c>
      <c r="BO230" t="str">
        <f t="shared" si="279"/>
        <v>長畑　玲奈</v>
      </c>
    </row>
    <row r="231" spans="1:67">
      <c r="A231" t="s">
        <v>313</v>
      </c>
      <c r="B231" t="str">
        <f>""</f>
        <v/>
      </c>
      <c r="C231" t="str">
        <f>""</f>
        <v/>
      </c>
      <c r="D231" t="str">
        <f t="shared" si="270"/>
        <v>SHIM</v>
      </c>
      <c r="E231" t="str">
        <f t="shared" si="258"/>
        <v>1Y</v>
      </c>
      <c r="F231" t="str">
        <f t="shared" si="259"/>
        <v>第１工場</v>
      </c>
      <c r="G231" t="str">
        <f t="shared" si="260"/>
        <v>手配</v>
      </c>
      <c r="H231" t="str">
        <f t="shared" si="261"/>
        <v>Ｐ</v>
      </c>
      <c r="I231" t="str">
        <f t="shared" si="246"/>
        <v>6454</v>
      </c>
      <c r="J231" t="str">
        <f t="shared" si="247"/>
        <v>（株）ムロコーポレーション</v>
      </c>
      <c r="K231" t="str">
        <f t="shared" si="245"/>
        <v>01</v>
      </c>
      <c r="L231" t="str">
        <f>""</f>
        <v/>
      </c>
      <c r="M231" t="str">
        <f t="shared" si="284"/>
        <v>――</v>
      </c>
      <c r="N231" t="str">
        <f t="shared" si="284"/>
        <v>――</v>
      </c>
      <c r="O231" t="str">
        <f t="shared" si="262"/>
        <v>Ｍ</v>
      </c>
      <c r="P231" t="str">
        <f t="shared" si="263"/>
        <v>01</v>
      </c>
      <c r="Q231" t="str">
        <f t="shared" si="264"/>
        <v>第１</v>
      </c>
      <c r="R231" t="str">
        <f t="shared" si="265"/>
        <v>1Y</v>
      </c>
      <c r="S231" t="str">
        <f t="shared" si="266"/>
        <v>安城第１工場</v>
      </c>
      <c r="T231" t="str">
        <f t="shared" si="267"/>
        <v>直接</v>
      </c>
      <c r="U231" t="str">
        <f>""</f>
        <v/>
      </c>
      <c r="V231" t="str">
        <f>""</f>
        <v/>
      </c>
      <c r="W231" t="str">
        <f>""</f>
        <v/>
      </c>
      <c r="X231">
        <v>1</v>
      </c>
      <c r="Y231">
        <v>1</v>
      </c>
      <c r="Z231">
        <v>0.73</v>
      </c>
      <c r="AA231">
        <v>0.93</v>
      </c>
      <c r="AB231">
        <v>3</v>
      </c>
      <c r="AC231">
        <v>0.93</v>
      </c>
      <c r="AD231">
        <v>0.93</v>
      </c>
      <c r="AE231">
        <v>1.1000000000000001</v>
      </c>
      <c r="AF231">
        <v>0.5</v>
      </c>
      <c r="AG231" t="str">
        <f t="shared" si="248"/>
        <v>205</v>
      </c>
      <c r="AH231" t="str">
        <f t="shared" si="249"/>
        <v>（株）ムロコーポレーション</v>
      </c>
      <c r="AI231" t="str">
        <f>"018"</f>
        <v>018</v>
      </c>
      <c r="AJ231" t="str">
        <f>""</f>
        <v/>
      </c>
      <c r="AK231" t="str">
        <f>""</f>
        <v/>
      </c>
      <c r="AL231" t="str">
        <f t="shared" si="271"/>
        <v>0370</v>
      </c>
      <c r="AM231" t="str">
        <f t="shared" si="272"/>
        <v>ｼﾑ</v>
      </c>
      <c r="AN231" t="str">
        <f t="shared" si="250"/>
        <v>012</v>
      </c>
      <c r="AO231" t="str">
        <f t="shared" si="251"/>
        <v>TP-131 ﾊﾝﾖｳ</v>
      </c>
      <c r="AP231">
        <v>100</v>
      </c>
      <c r="AQ231" t="str">
        <f>""</f>
        <v/>
      </c>
      <c r="AR231" t="str">
        <f>""</f>
        <v/>
      </c>
      <c r="AS231" t="str">
        <f>""</f>
        <v/>
      </c>
      <c r="AT231" t="str">
        <f t="shared" si="252"/>
        <v>00</v>
      </c>
      <c r="AU231">
        <v>0.5</v>
      </c>
      <c r="AV231" t="str">
        <f>""</f>
        <v/>
      </c>
      <c r="AW231" t="str">
        <f t="shared" si="273"/>
        <v>06</v>
      </c>
      <c r="AX231" t="str">
        <f t="shared" si="274"/>
        <v>計画</v>
      </c>
      <c r="AY231" t="str">
        <f t="shared" si="275"/>
        <v>02</v>
      </c>
      <c r="AZ231" t="str">
        <f t="shared" si="276"/>
        <v>計画・２社</v>
      </c>
      <c r="BA231" t="str">
        <f>""</f>
        <v/>
      </c>
      <c r="BB231" t="str">
        <f t="shared" si="253"/>
        <v>ＴＰ１３１フタナシ</v>
      </c>
      <c r="BC231" t="str">
        <f t="shared" si="254"/>
        <v xml:space="preserve"> 335.000</v>
      </c>
      <c r="BD231" t="str">
        <f t="shared" si="255"/>
        <v xml:space="preserve"> 168.000</v>
      </c>
      <c r="BE231" t="str">
        <f t="shared" si="256"/>
        <v xml:space="preserve"> 103.000</v>
      </c>
      <c r="BF231" t="str">
        <f t="shared" si="257"/>
        <v xml:space="preserve">   0.006</v>
      </c>
      <c r="BG231" t="str">
        <f t="shared" si="280"/>
        <v xml:space="preserve">   1.410</v>
      </c>
      <c r="BH231" t="str">
        <f t="shared" si="283"/>
        <v>しない</v>
      </c>
      <c r="BI231" t="str">
        <f>""</f>
        <v/>
      </c>
      <c r="BJ231" t="str">
        <f t="shared" si="282"/>
        <v>MASTER01</v>
      </c>
      <c r="BK231" t="str">
        <f t="shared" si="281"/>
        <v>2023/01/17</v>
      </c>
      <c r="BL231" t="str">
        <f t="shared" si="268"/>
        <v>NE00</v>
      </c>
      <c r="BM231" t="str">
        <f t="shared" si="269"/>
        <v>１工工務Ｇ</v>
      </c>
      <c r="BN231" t="str">
        <f t="shared" si="278"/>
        <v>46548</v>
      </c>
      <c r="BO231" t="str">
        <f t="shared" si="279"/>
        <v>長畑　玲奈</v>
      </c>
    </row>
    <row r="232" spans="1:67">
      <c r="A232" t="s">
        <v>314</v>
      </c>
      <c r="B232" t="str">
        <f>""</f>
        <v/>
      </c>
      <c r="C232" t="str">
        <f>""</f>
        <v/>
      </c>
      <c r="D232" t="str">
        <f t="shared" si="270"/>
        <v>SHIM</v>
      </c>
      <c r="E232" t="str">
        <f t="shared" si="258"/>
        <v>1Y</v>
      </c>
      <c r="F232" t="str">
        <f t="shared" si="259"/>
        <v>第１工場</v>
      </c>
      <c r="G232" t="str">
        <f t="shared" si="260"/>
        <v>手配</v>
      </c>
      <c r="H232" t="str">
        <f t="shared" si="261"/>
        <v>Ｐ</v>
      </c>
      <c r="I232" t="str">
        <f t="shared" si="246"/>
        <v>6454</v>
      </c>
      <c r="J232" t="str">
        <f t="shared" si="247"/>
        <v>（株）ムロコーポレーション</v>
      </c>
      <c r="K232" t="str">
        <f t="shared" si="245"/>
        <v>01</v>
      </c>
      <c r="L232" t="str">
        <f>""</f>
        <v/>
      </c>
      <c r="M232" t="str">
        <f t="shared" si="284"/>
        <v>――</v>
      </c>
      <c r="N232" t="str">
        <f t="shared" si="284"/>
        <v>――</v>
      </c>
      <c r="O232" t="str">
        <f t="shared" si="262"/>
        <v>Ｍ</v>
      </c>
      <c r="P232" t="str">
        <f t="shared" si="263"/>
        <v>01</v>
      </c>
      <c r="Q232" t="str">
        <f t="shared" si="264"/>
        <v>第１</v>
      </c>
      <c r="R232" t="str">
        <f t="shared" si="265"/>
        <v>1Y</v>
      </c>
      <c r="S232" t="str">
        <f t="shared" si="266"/>
        <v>安城第１工場</v>
      </c>
      <c r="T232" t="str">
        <f t="shared" si="267"/>
        <v>直接</v>
      </c>
      <c r="U232" t="str">
        <f>""</f>
        <v/>
      </c>
      <c r="V232" t="str">
        <f>""</f>
        <v/>
      </c>
      <c r="W232" t="str">
        <f>""</f>
        <v/>
      </c>
      <c r="X232">
        <v>1</v>
      </c>
      <c r="Y232">
        <v>1</v>
      </c>
      <c r="Z232">
        <v>0.73</v>
      </c>
      <c r="AA232">
        <v>0.93</v>
      </c>
      <c r="AB232">
        <v>3</v>
      </c>
      <c r="AC232">
        <v>0.93</v>
      </c>
      <c r="AD232">
        <v>0.93</v>
      </c>
      <c r="AE232">
        <v>1.1000000000000001</v>
      </c>
      <c r="AF232">
        <v>0.5</v>
      </c>
      <c r="AG232" t="str">
        <f t="shared" si="248"/>
        <v>205</v>
      </c>
      <c r="AH232" t="str">
        <f t="shared" si="249"/>
        <v>（株）ムロコーポレーション</v>
      </c>
      <c r="AI232" t="str">
        <f>"019"</f>
        <v>019</v>
      </c>
      <c r="AJ232" t="str">
        <f>""</f>
        <v/>
      </c>
      <c r="AK232" t="str">
        <f>""</f>
        <v/>
      </c>
      <c r="AL232" t="str">
        <f t="shared" si="271"/>
        <v>0370</v>
      </c>
      <c r="AM232" t="str">
        <f t="shared" si="272"/>
        <v>ｼﾑ</v>
      </c>
      <c r="AN232" t="str">
        <f t="shared" si="250"/>
        <v>012</v>
      </c>
      <c r="AO232" t="str">
        <f t="shared" si="251"/>
        <v>TP-131 ﾊﾝﾖｳ</v>
      </c>
      <c r="AP232">
        <v>100</v>
      </c>
      <c r="AQ232" t="str">
        <f>""</f>
        <v/>
      </c>
      <c r="AR232" t="str">
        <f>""</f>
        <v/>
      </c>
      <c r="AS232" t="str">
        <f>""</f>
        <v/>
      </c>
      <c r="AT232" t="str">
        <f t="shared" si="252"/>
        <v>00</v>
      </c>
      <c r="AU232">
        <v>0.5</v>
      </c>
      <c r="AV232" t="str">
        <f>""</f>
        <v/>
      </c>
      <c r="AW232" t="str">
        <f t="shared" si="273"/>
        <v>06</v>
      </c>
      <c r="AX232" t="str">
        <f t="shared" si="274"/>
        <v>計画</v>
      </c>
      <c r="AY232" t="str">
        <f t="shared" si="275"/>
        <v>02</v>
      </c>
      <c r="AZ232" t="str">
        <f t="shared" si="276"/>
        <v>計画・２社</v>
      </c>
      <c r="BA232" t="str">
        <f>""</f>
        <v/>
      </c>
      <c r="BB232" t="str">
        <f t="shared" si="253"/>
        <v>ＴＰ１３１フタナシ</v>
      </c>
      <c r="BC232" t="str">
        <f t="shared" si="254"/>
        <v xml:space="preserve"> 335.000</v>
      </c>
      <c r="BD232" t="str">
        <f t="shared" si="255"/>
        <v xml:space="preserve"> 168.000</v>
      </c>
      <c r="BE232" t="str">
        <f t="shared" si="256"/>
        <v xml:space="preserve"> 103.000</v>
      </c>
      <c r="BF232" t="str">
        <f t="shared" si="257"/>
        <v xml:space="preserve">   0.006</v>
      </c>
      <c r="BG232" t="str">
        <f t="shared" si="280"/>
        <v xml:space="preserve">   1.410</v>
      </c>
      <c r="BH232" t="str">
        <f t="shared" si="283"/>
        <v>しない</v>
      </c>
      <c r="BI232" t="str">
        <f>""</f>
        <v/>
      </c>
      <c r="BJ232" t="str">
        <f t="shared" si="282"/>
        <v>MASTER01</v>
      </c>
      <c r="BK232" t="str">
        <f t="shared" si="281"/>
        <v>2023/01/17</v>
      </c>
      <c r="BL232" t="str">
        <f t="shared" si="268"/>
        <v>NE00</v>
      </c>
      <c r="BM232" t="str">
        <f t="shared" si="269"/>
        <v>１工工務Ｇ</v>
      </c>
      <c r="BN232" t="str">
        <f t="shared" si="278"/>
        <v>46548</v>
      </c>
      <c r="BO232" t="str">
        <f t="shared" si="279"/>
        <v>長畑　玲奈</v>
      </c>
    </row>
    <row r="233" spans="1:67">
      <c r="A233" t="s">
        <v>315</v>
      </c>
      <c r="B233" t="str">
        <f>""</f>
        <v/>
      </c>
      <c r="C233" t="str">
        <f>""</f>
        <v/>
      </c>
      <c r="D233" t="str">
        <f t="shared" si="270"/>
        <v>SHIM</v>
      </c>
      <c r="E233" t="str">
        <f t="shared" si="258"/>
        <v>1Y</v>
      </c>
      <c r="F233" t="str">
        <f t="shared" si="259"/>
        <v>第１工場</v>
      </c>
      <c r="G233" t="str">
        <f t="shared" si="260"/>
        <v>手配</v>
      </c>
      <c r="H233" t="str">
        <f t="shared" si="261"/>
        <v>Ｐ</v>
      </c>
      <c r="I233" t="str">
        <f t="shared" si="246"/>
        <v>6454</v>
      </c>
      <c r="J233" t="str">
        <f t="shared" si="247"/>
        <v>（株）ムロコーポレーション</v>
      </c>
      <c r="K233" t="str">
        <f t="shared" si="245"/>
        <v>01</v>
      </c>
      <c r="L233" t="str">
        <f>""</f>
        <v/>
      </c>
      <c r="M233" t="str">
        <f t="shared" si="284"/>
        <v>――</v>
      </c>
      <c r="N233" t="str">
        <f t="shared" si="284"/>
        <v>――</v>
      </c>
      <c r="O233" t="str">
        <f t="shared" si="262"/>
        <v>Ｍ</v>
      </c>
      <c r="P233" t="str">
        <f t="shared" si="263"/>
        <v>01</v>
      </c>
      <c r="Q233" t="str">
        <f t="shared" si="264"/>
        <v>第１</v>
      </c>
      <c r="R233" t="str">
        <f t="shared" si="265"/>
        <v>1Y</v>
      </c>
      <c r="S233" t="str">
        <f t="shared" si="266"/>
        <v>安城第１工場</v>
      </c>
      <c r="T233" t="str">
        <f t="shared" si="267"/>
        <v>直接</v>
      </c>
      <c r="U233" t="str">
        <f>""</f>
        <v/>
      </c>
      <c r="V233" t="str">
        <f>""</f>
        <v/>
      </c>
      <c r="W233" t="str">
        <f>""</f>
        <v/>
      </c>
      <c r="X233">
        <v>1</v>
      </c>
      <c r="Y233">
        <v>1</v>
      </c>
      <c r="Z233">
        <v>0.73</v>
      </c>
      <c r="AA233">
        <v>0.93</v>
      </c>
      <c r="AB233">
        <v>3</v>
      </c>
      <c r="AC233">
        <v>0.93</v>
      </c>
      <c r="AD233">
        <v>0.93</v>
      </c>
      <c r="AE233">
        <v>1.1000000000000001</v>
      </c>
      <c r="AF233">
        <v>0.5</v>
      </c>
      <c r="AG233" t="str">
        <f t="shared" si="248"/>
        <v>205</v>
      </c>
      <c r="AH233" t="str">
        <f t="shared" si="249"/>
        <v>（株）ムロコーポレーション</v>
      </c>
      <c r="AI233" t="str">
        <f>"020"</f>
        <v>020</v>
      </c>
      <c r="AJ233" t="str">
        <f>""</f>
        <v/>
      </c>
      <c r="AK233" t="str">
        <f>""</f>
        <v/>
      </c>
      <c r="AL233" t="str">
        <f t="shared" si="271"/>
        <v>0370</v>
      </c>
      <c r="AM233" t="str">
        <f t="shared" si="272"/>
        <v>ｼﾑ</v>
      </c>
      <c r="AN233" t="str">
        <f t="shared" si="250"/>
        <v>012</v>
      </c>
      <c r="AO233" t="str">
        <f t="shared" si="251"/>
        <v>TP-131 ﾊﾝﾖｳ</v>
      </c>
      <c r="AP233">
        <v>100</v>
      </c>
      <c r="AQ233" t="str">
        <f>""</f>
        <v/>
      </c>
      <c r="AR233" t="str">
        <f>""</f>
        <v/>
      </c>
      <c r="AS233" t="str">
        <f>""</f>
        <v/>
      </c>
      <c r="AT233" t="str">
        <f t="shared" si="252"/>
        <v>00</v>
      </c>
      <c r="AU233">
        <v>0.5</v>
      </c>
      <c r="AV233" t="str">
        <f>""</f>
        <v/>
      </c>
      <c r="AW233" t="str">
        <f t="shared" si="273"/>
        <v>06</v>
      </c>
      <c r="AX233" t="str">
        <f t="shared" si="274"/>
        <v>計画</v>
      </c>
      <c r="AY233" t="str">
        <f t="shared" si="275"/>
        <v>02</v>
      </c>
      <c r="AZ233" t="str">
        <f t="shared" si="276"/>
        <v>計画・２社</v>
      </c>
      <c r="BA233" t="str">
        <f>""</f>
        <v/>
      </c>
      <c r="BB233" t="str">
        <f t="shared" si="253"/>
        <v>ＴＰ１３１フタナシ</v>
      </c>
      <c r="BC233" t="str">
        <f t="shared" si="254"/>
        <v xml:space="preserve"> 335.000</v>
      </c>
      <c r="BD233" t="str">
        <f t="shared" si="255"/>
        <v xml:space="preserve"> 168.000</v>
      </c>
      <c r="BE233" t="str">
        <f t="shared" si="256"/>
        <v xml:space="preserve"> 103.000</v>
      </c>
      <c r="BF233" t="str">
        <f t="shared" si="257"/>
        <v xml:space="preserve">   0.006</v>
      </c>
      <c r="BG233" t="str">
        <f t="shared" si="280"/>
        <v xml:space="preserve">   1.410</v>
      </c>
      <c r="BH233" t="str">
        <f t="shared" si="283"/>
        <v>しない</v>
      </c>
      <c r="BI233" t="str">
        <f>""</f>
        <v/>
      </c>
      <c r="BJ233" t="str">
        <f t="shared" si="282"/>
        <v>MASTER01</v>
      </c>
      <c r="BK233" t="str">
        <f t="shared" si="281"/>
        <v>2023/01/17</v>
      </c>
      <c r="BL233" t="str">
        <f t="shared" si="268"/>
        <v>NE00</v>
      </c>
      <c r="BM233" t="str">
        <f t="shared" si="269"/>
        <v>１工工務Ｇ</v>
      </c>
      <c r="BN233" t="str">
        <f t="shared" si="278"/>
        <v>46548</v>
      </c>
      <c r="BO233" t="str">
        <f t="shared" si="279"/>
        <v>長畑　玲奈</v>
      </c>
    </row>
    <row r="234" spans="1:67">
      <c r="A234" t="s">
        <v>316</v>
      </c>
      <c r="B234" t="str">
        <f>""</f>
        <v/>
      </c>
      <c r="C234" t="str">
        <f>""</f>
        <v/>
      </c>
      <c r="D234" t="str">
        <f t="shared" si="270"/>
        <v>SHIM</v>
      </c>
      <c r="E234" t="str">
        <f t="shared" si="258"/>
        <v>1Y</v>
      </c>
      <c r="F234" t="str">
        <f t="shared" si="259"/>
        <v>第１工場</v>
      </c>
      <c r="G234" t="str">
        <f t="shared" si="260"/>
        <v>手配</v>
      </c>
      <c r="H234" t="str">
        <f t="shared" si="261"/>
        <v>Ｐ</v>
      </c>
      <c r="I234" t="str">
        <f t="shared" si="246"/>
        <v>6454</v>
      </c>
      <c r="J234" t="str">
        <f t="shared" si="247"/>
        <v>（株）ムロコーポレーション</v>
      </c>
      <c r="K234" t="str">
        <f t="shared" si="245"/>
        <v>01</v>
      </c>
      <c r="L234" t="str">
        <f>""</f>
        <v/>
      </c>
      <c r="M234" t="str">
        <f t="shared" si="284"/>
        <v>――</v>
      </c>
      <c r="N234" t="str">
        <f t="shared" si="284"/>
        <v>――</v>
      </c>
      <c r="O234" t="str">
        <f t="shared" si="262"/>
        <v>Ｍ</v>
      </c>
      <c r="P234" t="str">
        <f t="shared" si="263"/>
        <v>01</v>
      </c>
      <c r="Q234" t="str">
        <f t="shared" si="264"/>
        <v>第１</v>
      </c>
      <c r="R234" t="str">
        <f t="shared" si="265"/>
        <v>1Y</v>
      </c>
      <c r="S234" t="str">
        <f t="shared" si="266"/>
        <v>安城第１工場</v>
      </c>
      <c r="T234" t="str">
        <f t="shared" si="267"/>
        <v>直接</v>
      </c>
      <c r="U234" t="str">
        <f>""</f>
        <v/>
      </c>
      <c r="V234" t="str">
        <f>""</f>
        <v/>
      </c>
      <c r="W234" t="str">
        <f>""</f>
        <v/>
      </c>
      <c r="X234">
        <v>1</v>
      </c>
      <c r="Y234">
        <v>1</v>
      </c>
      <c r="Z234">
        <v>0.73</v>
      </c>
      <c r="AA234">
        <v>0.93</v>
      </c>
      <c r="AB234">
        <v>3</v>
      </c>
      <c r="AC234">
        <v>0.93</v>
      </c>
      <c r="AD234">
        <v>0.93</v>
      </c>
      <c r="AE234">
        <v>1.1000000000000001</v>
      </c>
      <c r="AF234">
        <v>0.5</v>
      </c>
      <c r="AG234" t="str">
        <f t="shared" si="248"/>
        <v>205</v>
      </c>
      <c r="AH234" t="str">
        <f t="shared" si="249"/>
        <v>（株）ムロコーポレーション</v>
      </c>
      <c r="AI234" t="str">
        <f>"021"</f>
        <v>021</v>
      </c>
      <c r="AJ234" t="str">
        <f>""</f>
        <v/>
      </c>
      <c r="AK234" t="str">
        <f>""</f>
        <v/>
      </c>
      <c r="AL234" t="str">
        <f t="shared" si="271"/>
        <v>0370</v>
      </c>
      <c r="AM234" t="str">
        <f t="shared" si="272"/>
        <v>ｼﾑ</v>
      </c>
      <c r="AN234" t="str">
        <f t="shared" si="250"/>
        <v>012</v>
      </c>
      <c r="AO234" t="str">
        <f t="shared" si="251"/>
        <v>TP-131 ﾊﾝﾖｳ</v>
      </c>
      <c r="AP234">
        <v>100</v>
      </c>
      <c r="AQ234" t="str">
        <f>""</f>
        <v/>
      </c>
      <c r="AR234" t="str">
        <f>""</f>
        <v/>
      </c>
      <c r="AS234" t="str">
        <f>""</f>
        <v/>
      </c>
      <c r="AT234" t="str">
        <f t="shared" si="252"/>
        <v>00</v>
      </c>
      <c r="AU234">
        <v>0.5</v>
      </c>
      <c r="AV234" t="str">
        <f>""</f>
        <v/>
      </c>
      <c r="AW234" t="str">
        <f t="shared" si="273"/>
        <v>06</v>
      </c>
      <c r="AX234" t="str">
        <f t="shared" si="274"/>
        <v>計画</v>
      </c>
      <c r="AY234" t="str">
        <f t="shared" si="275"/>
        <v>02</v>
      </c>
      <c r="AZ234" t="str">
        <f t="shared" si="276"/>
        <v>計画・２社</v>
      </c>
      <c r="BA234" t="str">
        <f>""</f>
        <v/>
      </c>
      <c r="BB234" t="str">
        <f t="shared" si="253"/>
        <v>ＴＰ１３１フタナシ</v>
      </c>
      <c r="BC234" t="str">
        <f t="shared" si="254"/>
        <v xml:space="preserve"> 335.000</v>
      </c>
      <c r="BD234" t="str">
        <f t="shared" si="255"/>
        <v xml:space="preserve"> 168.000</v>
      </c>
      <c r="BE234" t="str">
        <f t="shared" si="256"/>
        <v xml:space="preserve"> 103.000</v>
      </c>
      <c r="BF234" t="str">
        <f t="shared" si="257"/>
        <v xml:space="preserve">   0.006</v>
      </c>
      <c r="BG234" t="str">
        <f t="shared" si="280"/>
        <v xml:space="preserve">   1.410</v>
      </c>
      <c r="BH234" t="str">
        <f t="shared" si="283"/>
        <v>しない</v>
      </c>
      <c r="BI234" t="str">
        <f>""</f>
        <v/>
      </c>
      <c r="BJ234" t="str">
        <f t="shared" si="282"/>
        <v>MASTER01</v>
      </c>
      <c r="BK234" t="str">
        <f t="shared" si="281"/>
        <v>2023/01/17</v>
      </c>
      <c r="BL234" t="str">
        <f t="shared" si="268"/>
        <v>NE00</v>
      </c>
      <c r="BM234" t="str">
        <f t="shared" si="269"/>
        <v>１工工務Ｇ</v>
      </c>
      <c r="BN234" t="str">
        <f t="shared" si="278"/>
        <v>46548</v>
      </c>
      <c r="BO234" t="str">
        <f t="shared" si="279"/>
        <v>長畑　玲奈</v>
      </c>
    </row>
    <row r="235" spans="1:67">
      <c r="A235" t="s">
        <v>317</v>
      </c>
      <c r="B235" t="str">
        <f>""</f>
        <v/>
      </c>
      <c r="C235" t="str">
        <f>""</f>
        <v/>
      </c>
      <c r="D235" t="str">
        <f t="shared" si="270"/>
        <v>SHIM</v>
      </c>
      <c r="E235" t="str">
        <f t="shared" si="258"/>
        <v>1Y</v>
      </c>
      <c r="F235" t="str">
        <f t="shared" si="259"/>
        <v>第１工場</v>
      </c>
      <c r="G235" t="str">
        <f t="shared" si="260"/>
        <v>手配</v>
      </c>
      <c r="H235" t="str">
        <f t="shared" si="261"/>
        <v>Ｐ</v>
      </c>
      <c r="I235" t="str">
        <f t="shared" si="246"/>
        <v>6454</v>
      </c>
      <c r="J235" t="str">
        <f t="shared" si="247"/>
        <v>（株）ムロコーポレーション</v>
      </c>
      <c r="K235" t="str">
        <f t="shared" si="245"/>
        <v>01</v>
      </c>
      <c r="L235" t="str">
        <f>""</f>
        <v/>
      </c>
      <c r="M235" t="str">
        <f t="shared" si="284"/>
        <v>――</v>
      </c>
      <c r="N235" t="str">
        <f t="shared" si="284"/>
        <v>――</v>
      </c>
      <c r="O235" t="str">
        <f t="shared" si="262"/>
        <v>Ｍ</v>
      </c>
      <c r="P235" t="str">
        <f t="shared" si="263"/>
        <v>01</v>
      </c>
      <c r="Q235" t="str">
        <f t="shared" si="264"/>
        <v>第１</v>
      </c>
      <c r="R235" t="str">
        <f t="shared" si="265"/>
        <v>1Y</v>
      </c>
      <c r="S235" t="str">
        <f t="shared" si="266"/>
        <v>安城第１工場</v>
      </c>
      <c r="T235" t="str">
        <f t="shared" si="267"/>
        <v>直接</v>
      </c>
      <c r="U235" t="str">
        <f>""</f>
        <v/>
      </c>
      <c r="V235" t="str">
        <f>""</f>
        <v/>
      </c>
      <c r="W235" t="str">
        <f>""</f>
        <v/>
      </c>
      <c r="X235">
        <v>1</v>
      </c>
      <c r="Y235">
        <v>1</v>
      </c>
      <c r="Z235">
        <v>0.73</v>
      </c>
      <c r="AA235">
        <v>0.93</v>
      </c>
      <c r="AB235">
        <v>3</v>
      </c>
      <c r="AC235">
        <v>0.93</v>
      </c>
      <c r="AD235">
        <v>0.93</v>
      </c>
      <c r="AE235">
        <v>1.1000000000000001</v>
      </c>
      <c r="AF235">
        <v>0.5</v>
      </c>
      <c r="AG235" t="str">
        <f t="shared" si="248"/>
        <v>205</v>
      </c>
      <c r="AH235" t="str">
        <f t="shared" si="249"/>
        <v>（株）ムロコーポレーション</v>
      </c>
      <c r="AI235" t="str">
        <f>"022"</f>
        <v>022</v>
      </c>
      <c r="AJ235" t="str">
        <f>""</f>
        <v/>
      </c>
      <c r="AK235" t="str">
        <f>""</f>
        <v/>
      </c>
      <c r="AL235" t="str">
        <f t="shared" si="271"/>
        <v>0370</v>
      </c>
      <c r="AM235" t="str">
        <f t="shared" si="272"/>
        <v>ｼﾑ</v>
      </c>
      <c r="AN235" t="str">
        <f t="shared" si="250"/>
        <v>012</v>
      </c>
      <c r="AO235" t="str">
        <f t="shared" si="251"/>
        <v>TP-131 ﾊﾝﾖｳ</v>
      </c>
      <c r="AP235">
        <v>100</v>
      </c>
      <c r="AQ235" t="str">
        <f>""</f>
        <v/>
      </c>
      <c r="AR235" t="str">
        <f>""</f>
        <v/>
      </c>
      <c r="AS235" t="str">
        <f>""</f>
        <v/>
      </c>
      <c r="AT235" t="str">
        <f t="shared" si="252"/>
        <v>00</v>
      </c>
      <c r="AU235">
        <v>0.5</v>
      </c>
      <c r="AV235" t="str">
        <f>""</f>
        <v/>
      </c>
      <c r="AW235" t="str">
        <f t="shared" si="273"/>
        <v>06</v>
      </c>
      <c r="AX235" t="str">
        <f t="shared" si="274"/>
        <v>計画</v>
      </c>
      <c r="AY235" t="str">
        <f t="shared" si="275"/>
        <v>02</v>
      </c>
      <c r="AZ235" t="str">
        <f t="shared" si="276"/>
        <v>計画・２社</v>
      </c>
      <c r="BA235" t="str">
        <f>""</f>
        <v/>
      </c>
      <c r="BB235" t="str">
        <f t="shared" si="253"/>
        <v>ＴＰ１３１フタナシ</v>
      </c>
      <c r="BC235" t="str">
        <f t="shared" si="254"/>
        <v xml:space="preserve"> 335.000</v>
      </c>
      <c r="BD235" t="str">
        <f t="shared" si="255"/>
        <v xml:space="preserve"> 168.000</v>
      </c>
      <c r="BE235" t="str">
        <f t="shared" si="256"/>
        <v xml:space="preserve"> 103.000</v>
      </c>
      <c r="BF235" t="str">
        <f t="shared" si="257"/>
        <v xml:space="preserve">   0.006</v>
      </c>
      <c r="BG235" t="str">
        <f t="shared" si="280"/>
        <v xml:space="preserve">   1.410</v>
      </c>
      <c r="BH235" t="str">
        <f t="shared" si="283"/>
        <v>しない</v>
      </c>
      <c r="BI235" t="str">
        <f>""</f>
        <v/>
      </c>
      <c r="BJ235" t="str">
        <f t="shared" si="282"/>
        <v>MASTER01</v>
      </c>
      <c r="BK235" t="str">
        <f t="shared" si="281"/>
        <v>2023/01/17</v>
      </c>
      <c r="BL235" t="str">
        <f t="shared" si="268"/>
        <v>NE00</v>
      </c>
      <c r="BM235" t="str">
        <f t="shared" si="269"/>
        <v>１工工務Ｇ</v>
      </c>
      <c r="BN235" t="str">
        <f t="shared" si="278"/>
        <v>46548</v>
      </c>
      <c r="BO235" t="str">
        <f t="shared" si="279"/>
        <v>長畑　玲奈</v>
      </c>
    </row>
    <row r="236" spans="1:67">
      <c r="A236" t="s">
        <v>318</v>
      </c>
      <c r="B236" t="str">
        <f>""</f>
        <v/>
      </c>
      <c r="C236" t="str">
        <f>""</f>
        <v/>
      </c>
      <c r="D236" t="str">
        <f t="shared" si="270"/>
        <v>SHIM</v>
      </c>
      <c r="E236" t="str">
        <f t="shared" si="258"/>
        <v>1Y</v>
      </c>
      <c r="F236" t="str">
        <f t="shared" si="259"/>
        <v>第１工場</v>
      </c>
      <c r="G236" t="str">
        <f t="shared" si="260"/>
        <v>手配</v>
      </c>
      <c r="H236" t="str">
        <f t="shared" si="261"/>
        <v>Ｐ</v>
      </c>
      <c r="I236" t="str">
        <f t="shared" si="246"/>
        <v>6454</v>
      </c>
      <c r="J236" t="str">
        <f t="shared" si="247"/>
        <v>（株）ムロコーポレーション</v>
      </c>
      <c r="K236" t="str">
        <f t="shared" si="245"/>
        <v>01</v>
      </c>
      <c r="L236" t="str">
        <f>""</f>
        <v/>
      </c>
      <c r="M236" t="str">
        <f t="shared" si="284"/>
        <v>――</v>
      </c>
      <c r="N236" t="str">
        <f t="shared" si="284"/>
        <v>――</v>
      </c>
      <c r="O236" t="str">
        <f t="shared" si="262"/>
        <v>Ｍ</v>
      </c>
      <c r="P236" t="str">
        <f t="shared" si="263"/>
        <v>01</v>
      </c>
      <c r="Q236" t="str">
        <f t="shared" si="264"/>
        <v>第１</v>
      </c>
      <c r="R236" t="str">
        <f t="shared" si="265"/>
        <v>1Y</v>
      </c>
      <c r="S236" t="str">
        <f t="shared" si="266"/>
        <v>安城第１工場</v>
      </c>
      <c r="T236" t="str">
        <f t="shared" si="267"/>
        <v>直接</v>
      </c>
      <c r="U236" t="str">
        <f>""</f>
        <v/>
      </c>
      <c r="V236" t="str">
        <f>""</f>
        <v/>
      </c>
      <c r="W236" t="str">
        <f>""</f>
        <v/>
      </c>
      <c r="X236">
        <v>1</v>
      </c>
      <c r="Y236">
        <v>1</v>
      </c>
      <c r="Z236">
        <v>0.73</v>
      </c>
      <c r="AA236">
        <v>0.93</v>
      </c>
      <c r="AB236">
        <v>3</v>
      </c>
      <c r="AC236">
        <v>0.93</v>
      </c>
      <c r="AD236">
        <v>0.93</v>
      </c>
      <c r="AE236">
        <v>1.1000000000000001</v>
      </c>
      <c r="AF236">
        <v>0.5</v>
      </c>
      <c r="AG236" t="str">
        <f t="shared" si="248"/>
        <v>205</v>
      </c>
      <c r="AH236" t="str">
        <f t="shared" si="249"/>
        <v>（株）ムロコーポレーション</v>
      </c>
      <c r="AI236" t="str">
        <f>"023"</f>
        <v>023</v>
      </c>
      <c r="AJ236" t="str">
        <f>""</f>
        <v/>
      </c>
      <c r="AK236" t="str">
        <f>""</f>
        <v/>
      </c>
      <c r="AL236" t="str">
        <f t="shared" si="271"/>
        <v>0370</v>
      </c>
      <c r="AM236" t="str">
        <f t="shared" si="272"/>
        <v>ｼﾑ</v>
      </c>
      <c r="AN236" t="str">
        <f t="shared" si="250"/>
        <v>012</v>
      </c>
      <c r="AO236" t="str">
        <f t="shared" si="251"/>
        <v>TP-131 ﾊﾝﾖｳ</v>
      </c>
      <c r="AP236">
        <v>100</v>
      </c>
      <c r="AQ236" t="str">
        <f>""</f>
        <v/>
      </c>
      <c r="AR236" t="str">
        <f>""</f>
        <v/>
      </c>
      <c r="AS236" t="str">
        <f>""</f>
        <v/>
      </c>
      <c r="AT236" t="str">
        <f t="shared" si="252"/>
        <v>00</v>
      </c>
      <c r="AU236">
        <v>0.5</v>
      </c>
      <c r="AV236" t="str">
        <f>""</f>
        <v/>
      </c>
      <c r="AW236" t="str">
        <f t="shared" si="273"/>
        <v>06</v>
      </c>
      <c r="AX236" t="str">
        <f t="shared" si="274"/>
        <v>計画</v>
      </c>
      <c r="AY236" t="str">
        <f t="shared" si="275"/>
        <v>02</v>
      </c>
      <c r="AZ236" t="str">
        <f t="shared" si="276"/>
        <v>計画・２社</v>
      </c>
      <c r="BA236" t="str">
        <f>""</f>
        <v/>
      </c>
      <c r="BB236" t="str">
        <f t="shared" si="253"/>
        <v>ＴＰ１３１フタナシ</v>
      </c>
      <c r="BC236" t="str">
        <f t="shared" si="254"/>
        <v xml:space="preserve"> 335.000</v>
      </c>
      <c r="BD236" t="str">
        <f t="shared" si="255"/>
        <v xml:space="preserve"> 168.000</v>
      </c>
      <c r="BE236" t="str">
        <f t="shared" si="256"/>
        <v xml:space="preserve"> 103.000</v>
      </c>
      <c r="BF236" t="str">
        <f t="shared" si="257"/>
        <v xml:space="preserve">   0.006</v>
      </c>
      <c r="BG236" t="str">
        <f t="shared" si="280"/>
        <v xml:space="preserve">   1.410</v>
      </c>
      <c r="BH236" t="str">
        <f t="shared" si="283"/>
        <v>しない</v>
      </c>
      <c r="BI236" t="str">
        <f>""</f>
        <v/>
      </c>
      <c r="BJ236" t="str">
        <f t="shared" si="282"/>
        <v>MASTER01</v>
      </c>
      <c r="BK236" t="str">
        <f t="shared" si="281"/>
        <v>2023/01/17</v>
      </c>
      <c r="BL236" t="str">
        <f t="shared" si="268"/>
        <v>NE00</v>
      </c>
      <c r="BM236" t="str">
        <f t="shared" si="269"/>
        <v>１工工務Ｇ</v>
      </c>
      <c r="BN236" t="str">
        <f t="shared" si="278"/>
        <v>46548</v>
      </c>
      <c r="BO236" t="str">
        <f t="shared" si="279"/>
        <v>長畑　玲奈</v>
      </c>
    </row>
    <row r="237" spans="1:67">
      <c r="A237" t="s">
        <v>319</v>
      </c>
      <c r="B237" t="str">
        <f>""</f>
        <v/>
      </c>
      <c r="C237" t="str">
        <f>""</f>
        <v/>
      </c>
      <c r="D237" t="str">
        <f t="shared" si="270"/>
        <v>SHIM</v>
      </c>
      <c r="E237" t="str">
        <f t="shared" si="258"/>
        <v>1Y</v>
      </c>
      <c r="F237" t="str">
        <f t="shared" si="259"/>
        <v>第１工場</v>
      </c>
      <c r="G237" t="str">
        <f t="shared" si="260"/>
        <v>手配</v>
      </c>
      <c r="H237" t="str">
        <f t="shared" si="261"/>
        <v>Ｐ</v>
      </c>
      <c r="I237" t="str">
        <f t="shared" si="246"/>
        <v>6454</v>
      </c>
      <c r="J237" t="str">
        <f t="shared" si="247"/>
        <v>（株）ムロコーポレーション</v>
      </c>
      <c r="K237" t="str">
        <f t="shared" si="245"/>
        <v>01</v>
      </c>
      <c r="L237" t="str">
        <f>""</f>
        <v/>
      </c>
      <c r="M237" t="str">
        <f t="shared" si="284"/>
        <v>――</v>
      </c>
      <c r="N237" t="str">
        <f t="shared" si="284"/>
        <v>――</v>
      </c>
      <c r="O237" t="str">
        <f t="shared" si="262"/>
        <v>Ｍ</v>
      </c>
      <c r="P237" t="str">
        <f t="shared" si="263"/>
        <v>01</v>
      </c>
      <c r="Q237" t="str">
        <f t="shared" si="264"/>
        <v>第１</v>
      </c>
      <c r="R237" t="str">
        <f t="shared" si="265"/>
        <v>1Y</v>
      </c>
      <c r="S237" t="str">
        <f t="shared" si="266"/>
        <v>安城第１工場</v>
      </c>
      <c r="T237" t="str">
        <f t="shared" si="267"/>
        <v>直接</v>
      </c>
      <c r="U237" t="str">
        <f>""</f>
        <v/>
      </c>
      <c r="V237" t="str">
        <f>""</f>
        <v/>
      </c>
      <c r="W237" t="str">
        <f>""</f>
        <v/>
      </c>
      <c r="X237">
        <v>1</v>
      </c>
      <c r="Y237">
        <v>1</v>
      </c>
      <c r="Z237">
        <v>0.73</v>
      </c>
      <c r="AA237">
        <v>0.93</v>
      </c>
      <c r="AB237">
        <v>3</v>
      </c>
      <c r="AC237">
        <v>0.93</v>
      </c>
      <c r="AD237">
        <v>0.93</v>
      </c>
      <c r="AE237">
        <v>1.1000000000000001</v>
      </c>
      <c r="AF237">
        <v>0.5</v>
      </c>
      <c r="AG237" t="str">
        <f t="shared" si="248"/>
        <v>205</v>
      </c>
      <c r="AH237" t="str">
        <f t="shared" si="249"/>
        <v>（株）ムロコーポレーション</v>
      </c>
      <c r="AI237" t="str">
        <f>"024"</f>
        <v>024</v>
      </c>
      <c r="AJ237" t="str">
        <f>""</f>
        <v/>
      </c>
      <c r="AK237" t="str">
        <f>""</f>
        <v/>
      </c>
      <c r="AL237" t="str">
        <f t="shared" si="271"/>
        <v>0370</v>
      </c>
      <c r="AM237" t="str">
        <f t="shared" si="272"/>
        <v>ｼﾑ</v>
      </c>
      <c r="AN237" t="str">
        <f t="shared" si="250"/>
        <v>012</v>
      </c>
      <c r="AO237" t="str">
        <f t="shared" si="251"/>
        <v>TP-131 ﾊﾝﾖｳ</v>
      </c>
      <c r="AP237">
        <v>100</v>
      </c>
      <c r="AQ237" t="str">
        <f>""</f>
        <v/>
      </c>
      <c r="AR237" t="str">
        <f>""</f>
        <v/>
      </c>
      <c r="AS237" t="str">
        <f>""</f>
        <v/>
      </c>
      <c r="AT237" t="str">
        <f t="shared" si="252"/>
        <v>00</v>
      </c>
      <c r="AU237">
        <v>0.5</v>
      </c>
      <c r="AV237" t="str">
        <f>""</f>
        <v/>
      </c>
      <c r="AW237" t="str">
        <f t="shared" si="273"/>
        <v>06</v>
      </c>
      <c r="AX237" t="str">
        <f t="shared" si="274"/>
        <v>計画</v>
      </c>
      <c r="AY237" t="str">
        <f t="shared" si="275"/>
        <v>02</v>
      </c>
      <c r="AZ237" t="str">
        <f t="shared" si="276"/>
        <v>計画・２社</v>
      </c>
      <c r="BA237" t="str">
        <f>""</f>
        <v/>
      </c>
      <c r="BB237" t="str">
        <f t="shared" si="253"/>
        <v>ＴＰ１３１フタナシ</v>
      </c>
      <c r="BC237" t="str">
        <f t="shared" si="254"/>
        <v xml:space="preserve"> 335.000</v>
      </c>
      <c r="BD237" t="str">
        <f t="shared" si="255"/>
        <v xml:space="preserve"> 168.000</v>
      </c>
      <c r="BE237" t="str">
        <f t="shared" si="256"/>
        <v xml:space="preserve"> 103.000</v>
      </c>
      <c r="BF237" t="str">
        <f t="shared" si="257"/>
        <v xml:space="preserve">   0.006</v>
      </c>
      <c r="BG237" t="str">
        <f t="shared" si="280"/>
        <v xml:space="preserve">   1.410</v>
      </c>
      <c r="BH237" t="str">
        <f t="shared" si="283"/>
        <v>しない</v>
      </c>
      <c r="BI237" t="str">
        <f>""</f>
        <v/>
      </c>
      <c r="BJ237" t="str">
        <f t="shared" si="282"/>
        <v>MASTER01</v>
      </c>
      <c r="BK237" t="str">
        <f t="shared" si="281"/>
        <v>2023/01/17</v>
      </c>
      <c r="BL237" t="str">
        <f t="shared" si="268"/>
        <v>NE00</v>
      </c>
      <c r="BM237" t="str">
        <f t="shared" si="269"/>
        <v>１工工務Ｇ</v>
      </c>
      <c r="BN237" t="str">
        <f t="shared" si="278"/>
        <v>46548</v>
      </c>
      <c r="BO237" t="str">
        <f t="shared" si="279"/>
        <v>長畑　玲奈</v>
      </c>
    </row>
    <row r="238" spans="1:67">
      <c r="A238" t="s">
        <v>320</v>
      </c>
      <c r="B238" t="str">
        <f>""</f>
        <v/>
      </c>
      <c r="C238" t="str">
        <f>""</f>
        <v/>
      </c>
      <c r="D238" t="str">
        <f t="shared" si="270"/>
        <v>SHIM</v>
      </c>
      <c r="E238" t="str">
        <f t="shared" si="258"/>
        <v>1Y</v>
      </c>
      <c r="F238" t="str">
        <f t="shared" si="259"/>
        <v>第１工場</v>
      </c>
      <c r="G238" t="str">
        <f t="shared" si="260"/>
        <v>手配</v>
      </c>
      <c r="H238" t="str">
        <f t="shared" si="261"/>
        <v>Ｐ</v>
      </c>
      <c r="I238" t="str">
        <f t="shared" si="246"/>
        <v>6454</v>
      </c>
      <c r="J238" t="str">
        <f t="shared" si="247"/>
        <v>（株）ムロコーポレーション</v>
      </c>
      <c r="K238" t="str">
        <f t="shared" si="245"/>
        <v>01</v>
      </c>
      <c r="L238" t="str">
        <f>""</f>
        <v/>
      </c>
      <c r="M238" t="str">
        <f t="shared" si="284"/>
        <v>――</v>
      </c>
      <c r="N238" t="str">
        <f t="shared" si="284"/>
        <v>――</v>
      </c>
      <c r="O238" t="str">
        <f t="shared" si="262"/>
        <v>Ｍ</v>
      </c>
      <c r="P238" t="str">
        <f t="shared" si="263"/>
        <v>01</v>
      </c>
      <c r="Q238" t="str">
        <f t="shared" si="264"/>
        <v>第１</v>
      </c>
      <c r="R238" t="str">
        <f t="shared" si="265"/>
        <v>1Y</v>
      </c>
      <c r="S238" t="str">
        <f t="shared" si="266"/>
        <v>安城第１工場</v>
      </c>
      <c r="T238" t="str">
        <f t="shared" si="267"/>
        <v>直接</v>
      </c>
      <c r="U238" t="str">
        <f>""</f>
        <v/>
      </c>
      <c r="V238" t="str">
        <f>""</f>
        <v/>
      </c>
      <c r="W238" t="str">
        <f>""</f>
        <v/>
      </c>
      <c r="X238">
        <v>1</v>
      </c>
      <c r="Y238">
        <v>1</v>
      </c>
      <c r="Z238">
        <v>0.73</v>
      </c>
      <c r="AA238">
        <v>0.93</v>
      </c>
      <c r="AB238">
        <v>3</v>
      </c>
      <c r="AC238">
        <v>0.93</v>
      </c>
      <c r="AD238">
        <v>0.93</v>
      </c>
      <c r="AE238">
        <v>1.1000000000000001</v>
      </c>
      <c r="AF238">
        <v>0.5</v>
      </c>
      <c r="AG238" t="str">
        <f t="shared" si="248"/>
        <v>205</v>
      </c>
      <c r="AH238" t="str">
        <f t="shared" si="249"/>
        <v>（株）ムロコーポレーション</v>
      </c>
      <c r="AI238" t="str">
        <f>"025"</f>
        <v>025</v>
      </c>
      <c r="AJ238" t="str">
        <f>""</f>
        <v/>
      </c>
      <c r="AK238" t="str">
        <f>""</f>
        <v/>
      </c>
      <c r="AL238" t="str">
        <f t="shared" si="271"/>
        <v>0370</v>
      </c>
      <c r="AM238" t="str">
        <f t="shared" si="272"/>
        <v>ｼﾑ</v>
      </c>
      <c r="AN238" t="str">
        <f t="shared" si="250"/>
        <v>012</v>
      </c>
      <c r="AO238" t="str">
        <f t="shared" si="251"/>
        <v>TP-131 ﾊﾝﾖｳ</v>
      </c>
      <c r="AP238">
        <v>100</v>
      </c>
      <c r="AQ238" t="str">
        <f>""</f>
        <v/>
      </c>
      <c r="AR238" t="str">
        <f>""</f>
        <v/>
      </c>
      <c r="AS238" t="str">
        <f>""</f>
        <v/>
      </c>
      <c r="AT238" t="str">
        <f t="shared" si="252"/>
        <v>00</v>
      </c>
      <c r="AU238">
        <v>0.5</v>
      </c>
      <c r="AV238" t="str">
        <f>""</f>
        <v/>
      </c>
      <c r="AW238" t="str">
        <f t="shared" si="273"/>
        <v>06</v>
      </c>
      <c r="AX238" t="str">
        <f t="shared" si="274"/>
        <v>計画</v>
      </c>
      <c r="AY238" t="str">
        <f t="shared" si="275"/>
        <v>02</v>
      </c>
      <c r="AZ238" t="str">
        <f t="shared" si="276"/>
        <v>計画・２社</v>
      </c>
      <c r="BA238" t="str">
        <f>""</f>
        <v/>
      </c>
      <c r="BB238" t="str">
        <f t="shared" si="253"/>
        <v>ＴＰ１３１フタナシ</v>
      </c>
      <c r="BC238" t="str">
        <f t="shared" si="254"/>
        <v xml:space="preserve"> 335.000</v>
      </c>
      <c r="BD238" t="str">
        <f t="shared" si="255"/>
        <v xml:space="preserve"> 168.000</v>
      </c>
      <c r="BE238" t="str">
        <f t="shared" si="256"/>
        <v xml:space="preserve"> 103.000</v>
      </c>
      <c r="BF238" t="str">
        <f t="shared" si="257"/>
        <v xml:space="preserve">   0.006</v>
      </c>
      <c r="BG238" t="str">
        <f t="shared" si="280"/>
        <v xml:space="preserve">   1.410</v>
      </c>
      <c r="BH238" t="str">
        <f t="shared" si="283"/>
        <v>しない</v>
      </c>
      <c r="BI238" t="str">
        <f>""</f>
        <v/>
      </c>
      <c r="BJ238" t="str">
        <f t="shared" si="282"/>
        <v>MASTER01</v>
      </c>
      <c r="BK238" t="str">
        <f t="shared" si="281"/>
        <v>2023/01/17</v>
      </c>
      <c r="BL238" t="str">
        <f t="shared" si="268"/>
        <v>NE00</v>
      </c>
      <c r="BM238" t="str">
        <f t="shared" si="269"/>
        <v>１工工務Ｇ</v>
      </c>
      <c r="BN238" t="str">
        <f t="shared" si="278"/>
        <v>46548</v>
      </c>
      <c r="BO238" t="str">
        <f t="shared" si="279"/>
        <v>長畑　玲奈</v>
      </c>
    </row>
    <row r="239" spans="1:67">
      <c r="A239" t="s">
        <v>321</v>
      </c>
      <c r="B239" t="str">
        <f>""</f>
        <v/>
      </c>
      <c r="C239" t="str">
        <f>""</f>
        <v/>
      </c>
      <c r="D239" t="str">
        <f t="shared" si="270"/>
        <v>SHIM</v>
      </c>
      <c r="E239" t="str">
        <f t="shared" si="258"/>
        <v>1Y</v>
      </c>
      <c r="F239" t="str">
        <f t="shared" si="259"/>
        <v>第１工場</v>
      </c>
      <c r="G239" t="str">
        <f t="shared" si="260"/>
        <v>手配</v>
      </c>
      <c r="H239" t="str">
        <f t="shared" si="261"/>
        <v>Ｐ</v>
      </c>
      <c r="I239" t="str">
        <f t="shared" si="246"/>
        <v>6454</v>
      </c>
      <c r="J239" t="str">
        <f t="shared" si="247"/>
        <v>（株）ムロコーポレーション</v>
      </c>
      <c r="K239" t="str">
        <f t="shared" si="245"/>
        <v>01</v>
      </c>
      <c r="L239" t="str">
        <f>""</f>
        <v/>
      </c>
      <c r="M239" t="str">
        <f t="shared" si="284"/>
        <v>――</v>
      </c>
      <c r="N239" t="str">
        <f t="shared" si="284"/>
        <v>――</v>
      </c>
      <c r="O239" t="str">
        <f t="shared" si="262"/>
        <v>Ｍ</v>
      </c>
      <c r="P239" t="str">
        <f t="shared" si="263"/>
        <v>01</v>
      </c>
      <c r="Q239" t="str">
        <f t="shared" si="264"/>
        <v>第１</v>
      </c>
      <c r="R239" t="str">
        <f t="shared" si="265"/>
        <v>1Y</v>
      </c>
      <c r="S239" t="str">
        <f t="shared" si="266"/>
        <v>安城第１工場</v>
      </c>
      <c r="T239" t="str">
        <f t="shared" si="267"/>
        <v>直接</v>
      </c>
      <c r="U239" t="str">
        <f>""</f>
        <v/>
      </c>
      <c r="V239" t="str">
        <f>""</f>
        <v/>
      </c>
      <c r="W239" t="str">
        <f>""</f>
        <v/>
      </c>
      <c r="X239">
        <v>1</v>
      </c>
      <c r="Y239">
        <v>1</v>
      </c>
      <c r="Z239">
        <v>0.73</v>
      </c>
      <c r="AA239">
        <v>0.93</v>
      </c>
      <c r="AB239">
        <v>3</v>
      </c>
      <c r="AC239">
        <v>0.93</v>
      </c>
      <c r="AD239">
        <v>0.93</v>
      </c>
      <c r="AE239">
        <v>1.1000000000000001</v>
      </c>
      <c r="AF239">
        <v>0.5</v>
      </c>
      <c r="AG239" t="str">
        <f t="shared" si="248"/>
        <v>205</v>
      </c>
      <c r="AH239" t="str">
        <f t="shared" si="249"/>
        <v>（株）ムロコーポレーション</v>
      </c>
      <c r="AI239" t="str">
        <f>"026"</f>
        <v>026</v>
      </c>
      <c r="AJ239" t="str">
        <f>""</f>
        <v/>
      </c>
      <c r="AK239" t="str">
        <f>""</f>
        <v/>
      </c>
      <c r="AL239" t="str">
        <f t="shared" si="271"/>
        <v>0370</v>
      </c>
      <c r="AM239" t="str">
        <f t="shared" si="272"/>
        <v>ｼﾑ</v>
      </c>
      <c r="AN239" t="str">
        <f t="shared" si="250"/>
        <v>012</v>
      </c>
      <c r="AO239" t="str">
        <f t="shared" si="251"/>
        <v>TP-131 ﾊﾝﾖｳ</v>
      </c>
      <c r="AP239">
        <v>100</v>
      </c>
      <c r="AQ239" t="str">
        <f>""</f>
        <v/>
      </c>
      <c r="AR239" t="str">
        <f>""</f>
        <v/>
      </c>
      <c r="AS239" t="str">
        <f>""</f>
        <v/>
      </c>
      <c r="AT239" t="str">
        <f t="shared" si="252"/>
        <v>00</v>
      </c>
      <c r="AU239">
        <v>0.5</v>
      </c>
      <c r="AV239" t="str">
        <f>""</f>
        <v/>
      </c>
      <c r="AW239" t="str">
        <f t="shared" si="273"/>
        <v>06</v>
      </c>
      <c r="AX239" t="str">
        <f t="shared" si="274"/>
        <v>計画</v>
      </c>
      <c r="AY239" t="str">
        <f t="shared" si="275"/>
        <v>02</v>
      </c>
      <c r="AZ239" t="str">
        <f t="shared" si="276"/>
        <v>計画・２社</v>
      </c>
      <c r="BA239" t="str">
        <f>""</f>
        <v/>
      </c>
      <c r="BB239" t="str">
        <f t="shared" si="253"/>
        <v>ＴＰ１３１フタナシ</v>
      </c>
      <c r="BC239" t="str">
        <f t="shared" si="254"/>
        <v xml:space="preserve"> 335.000</v>
      </c>
      <c r="BD239" t="str">
        <f t="shared" si="255"/>
        <v xml:space="preserve"> 168.000</v>
      </c>
      <c r="BE239" t="str">
        <f t="shared" si="256"/>
        <v xml:space="preserve"> 103.000</v>
      </c>
      <c r="BF239" t="str">
        <f t="shared" si="257"/>
        <v xml:space="preserve">   0.006</v>
      </c>
      <c r="BG239" t="str">
        <f t="shared" si="280"/>
        <v xml:space="preserve">   1.410</v>
      </c>
      <c r="BH239" t="str">
        <f t="shared" si="283"/>
        <v>しない</v>
      </c>
      <c r="BI239" t="str">
        <f>""</f>
        <v/>
      </c>
      <c r="BJ239" t="str">
        <f t="shared" si="282"/>
        <v>MASTER01</v>
      </c>
      <c r="BK239" t="str">
        <f t="shared" si="281"/>
        <v>2023/01/17</v>
      </c>
      <c r="BL239" t="str">
        <f t="shared" si="268"/>
        <v>NE00</v>
      </c>
      <c r="BM239" t="str">
        <f t="shared" si="269"/>
        <v>１工工務Ｇ</v>
      </c>
      <c r="BN239" t="str">
        <f t="shared" si="278"/>
        <v>46548</v>
      </c>
      <c r="BO239" t="str">
        <f t="shared" si="279"/>
        <v>長畑　玲奈</v>
      </c>
    </row>
    <row r="240" spans="1:67">
      <c r="A240" t="s">
        <v>322</v>
      </c>
      <c r="B240" t="str">
        <f>""</f>
        <v/>
      </c>
      <c r="C240" t="str">
        <f>""</f>
        <v/>
      </c>
      <c r="D240" t="str">
        <f t="shared" si="270"/>
        <v>SHIM</v>
      </c>
      <c r="E240" t="str">
        <f t="shared" si="258"/>
        <v>1Y</v>
      </c>
      <c r="F240" t="str">
        <f t="shared" si="259"/>
        <v>第１工場</v>
      </c>
      <c r="G240" t="str">
        <f t="shared" si="260"/>
        <v>手配</v>
      </c>
      <c r="H240" t="str">
        <f t="shared" si="261"/>
        <v>Ｐ</v>
      </c>
      <c r="I240" t="str">
        <f t="shared" si="246"/>
        <v>6454</v>
      </c>
      <c r="J240" t="str">
        <f t="shared" si="247"/>
        <v>（株）ムロコーポレーション</v>
      </c>
      <c r="K240" t="str">
        <f t="shared" si="245"/>
        <v>01</v>
      </c>
      <c r="L240" t="str">
        <f>""</f>
        <v/>
      </c>
      <c r="M240" t="str">
        <f t="shared" si="284"/>
        <v>――</v>
      </c>
      <c r="N240" t="str">
        <f t="shared" si="284"/>
        <v>――</v>
      </c>
      <c r="O240" t="str">
        <f t="shared" si="262"/>
        <v>Ｍ</v>
      </c>
      <c r="P240" t="str">
        <f t="shared" si="263"/>
        <v>01</v>
      </c>
      <c r="Q240" t="str">
        <f t="shared" si="264"/>
        <v>第１</v>
      </c>
      <c r="R240" t="str">
        <f t="shared" si="265"/>
        <v>1Y</v>
      </c>
      <c r="S240" t="str">
        <f t="shared" si="266"/>
        <v>安城第１工場</v>
      </c>
      <c r="T240" t="str">
        <f t="shared" si="267"/>
        <v>直接</v>
      </c>
      <c r="U240" t="str">
        <f>""</f>
        <v/>
      </c>
      <c r="V240" t="str">
        <f>""</f>
        <v/>
      </c>
      <c r="W240" t="str">
        <f>""</f>
        <v/>
      </c>
      <c r="X240">
        <v>1</v>
      </c>
      <c r="Y240">
        <v>1</v>
      </c>
      <c r="Z240">
        <v>0.73</v>
      </c>
      <c r="AA240">
        <v>0.93</v>
      </c>
      <c r="AB240">
        <v>3</v>
      </c>
      <c r="AC240">
        <v>0.93</v>
      </c>
      <c r="AD240">
        <v>0.93</v>
      </c>
      <c r="AE240">
        <v>1.1000000000000001</v>
      </c>
      <c r="AF240">
        <v>0.5</v>
      </c>
      <c r="AG240" t="str">
        <f t="shared" si="248"/>
        <v>205</v>
      </c>
      <c r="AH240" t="str">
        <f t="shared" si="249"/>
        <v>（株）ムロコーポレーション</v>
      </c>
      <c r="AI240" t="str">
        <f>"027"</f>
        <v>027</v>
      </c>
      <c r="AJ240" t="str">
        <f>""</f>
        <v/>
      </c>
      <c r="AK240" t="str">
        <f>""</f>
        <v/>
      </c>
      <c r="AL240" t="str">
        <f t="shared" si="271"/>
        <v>0370</v>
      </c>
      <c r="AM240" t="str">
        <f t="shared" si="272"/>
        <v>ｼﾑ</v>
      </c>
      <c r="AN240" t="str">
        <f t="shared" si="250"/>
        <v>012</v>
      </c>
      <c r="AO240" t="str">
        <f t="shared" si="251"/>
        <v>TP-131 ﾊﾝﾖｳ</v>
      </c>
      <c r="AP240">
        <v>100</v>
      </c>
      <c r="AQ240" t="str">
        <f>""</f>
        <v/>
      </c>
      <c r="AR240" t="str">
        <f>""</f>
        <v/>
      </c>
      <c r="AS240" t="str">
        <f>""</f>
        <v/>
      </c>
      <c r="AT240" t="str">
        <f t="shared" si="252"/>
        <v>00</v>
      </c>
      <c r="AU240">
        <v>0.5</v>
      </c>
      <c r="AV240" t="str">
        <f>""</f>
        <v/>
      </c>
      <c r="AW240" t="str">
        <f t="shared" si="273"/>
        <v>06</v>
      </c>
      <c r="AX240" t="str">
        <f t="shared" si="274"/>
        <v>計画</v>
      </c>
      <c r="AY240" t="str">
        <f t="shared" si="275"/>
        <v>02</v>
      </c>
      <c r="AZ240" t="str">
        <f t="shared" si="276"/>
        <v>計画・２社</v>
      </c>
      <c r="BA240" t="str">
        <f>""</f>
        <v/>
      </c>
      <c r="BB240" t="str">
        <f t="shared" si="253"/>
        <v>ＴＰ１３１フタナシ</v>
      </c>
      <c r="BC240" t="str">
        <f t="shared" si="254"/>
        <v xml:space="preserve"> 335.000</v>
      </c>
      <c r="BD240" t="str">
        <f t="shared" si="255"/>
        <v xml:space="preserve"> 168.000</v>
      </c>
      <c r="BE240" t="str">
        <f t="shared" si="256"/>
        <v xml:space="preserve"> 103.000</v>
      </c>
      <c r="BF240" t="str">
        <f t="shared" si="257"/>
        <v xml:space="preserve">   0.006</v>
      </c>
      <c r="BG240" t="str">
        <f t="shared" si="280"/>
        <v xml:space="preserve">   1.410</v>
      </c>
      <c r="BH240" t="str">
        <f t="shared" si="283"/>
        <v>しない</v>
      </c>
      <c r="BI240" t="str">
        <f>""</f>
        <v/>
      </c>
      <c r="BJ240" t="str">
        <f t="shared" si="282"/>
        <v>MASTER01</v>
      </c>
      <c r="BK240" t="str">
        <f t="shared" si="281"/>
        <v>2023/01/17</v>
      </c>
      <c r="BL240" t="str">
        <f t="shared" si="268"/>
        <v>NE00</v>
      </c>
      <c r="BM240" t="str">
        <f t="shared" si="269"/>
        <v>１工工務Ｇ</v>
      </c>
      <c r="BN240" t="str">
        <f t="shared" si="278"/>
        <v>46548</v>
      </c>
      <c r="BO240" t="str">
        <f t="shared" si="279"/>
        <v>長畑　玲奈</v>
      </c>
    </row>
    <row r="241" spans="1:67">
      <c r="A241" t="s">
        <v>323</v>
      </c>
      <c r="B241" t="str">
        <f>""</f>
        <v/>
      </c>
      <c r="C241" t="str">
        <f>""</f>
        <v/>
      </c>
      <c r="D241" t="str">
        <f t="shared" si="270"/>
        <v>SHIM</v>
      </c>
      <c r="E241" t="str">
        <f t="shared" si="258"/>
        <v>1Y</v>
      </c>
      <c r="F241" t="str">
        <f t="shared" si="259"/>
        <v>第１工場</v>
      </c>
      <c r="G241" t="str">
        <f t="shared" si="260"/>
        <v>手配</v>
      </c>
      <c r="H241" t="str">
        <f t="shared" si="261"/>
        <v>Ｐ</v>
      </c>
      <c r="I241" t="str">
        <f t="shared" si="246"/>
        <v>6454</v>
      </c>
      <c r="J241" t="str">
        <f t="shared" si="247"/>
        <v>（株）ムロコーポレーション</v>
      </c>
      <c r="K241" t="str">
        <f t="shared" si="245"/>
        <v>01</v>
      </c>
      <c r="L241" t="str">
        <f>""</f>
        <v/>
      </c>
      <c r="M241" t="str">
        <f t="shared" si="284"/>
        <v>――</v>
      </c>
      <c r="N241" t="str">
        <f t="shared" si="284"/>
        <v>――</v>
      </c>
      <c r="O241" t="str">
        <f t="shared" si="262"/>
        <v>Ｍ</v>
      </c>
      <c r="P241" t="str">
        <f t="shared" si="263"/>
        <v>01</v>
      </c>
      <c r="Q241" t="str">
        <f t="shared" si="264"/>
        <v>第１</v>
      </c>
      <c r="R241" t="str">
        <f t="shared" si="265"/>
        <v>1Y</v>
      </c>
      <c r="S241" t="str">
        <f t="shared" si="266"/>
        <v>安城第１工場</v>
      </c>
      <c r="T241" t="str">
        <f t="shared" si="267"/>
        <v>直接</v>
      </c>
      <c r="U241" t="str">
        <f>""</f>
        <v/>
      </c>
      <c r="V241" t="str">
        <f>""</f>
        <v/>
      </c>
      <c r="W241" t="str">
        <f>""</f>
        <v/>
      </c>
      <c r="X241">
        <v>1</v>
      </c>
      <c r="Y241">
        <v>1</v>
      </c>
      <c r="Z241">
        <v>0.73</v>
      </c>
      <c r="AA241">
        <v>0.93</v>
      </c>
      <c r="AB241">
        <v>3</v>
      </c>
      <c r="AC241">
        <v>0.93</v>
      </c>
      <c r="AD241">
        <v>0.93</v>
      </c>
      <c r="AE241">
        <v>1.1000000000000001</v>
      </c>
      <c r="AF241">
        <v>0.5</v>
      </c>
      <c r="AG241" t="str">
        <f t="shared" si="248"/>
        <v>205</v>
      </c>
      <c r="AH241" t="str">
        <f t="shared" si="249"/>
        <v>（株）ムロコーポレーション</v>
      </c>
      <c r="AI241" t="str">
        <f>"028"</f>
        <v>028</v>
      </c>
      <c r="AJ241" t="str">
        <f>""</f>
        <v/>
      </c>
      <c r="AK241" t="str">
        <f>""</f>
        <v/>
      </c>
      <c r="AL241" t="str">
        <f t="shared" si="271"/>
        <v>0370</v>
      </c>
      <c r="AM241" t="str">
        <f t="shared" si="272"/>
        <v>ｼﾑ</v>
      </c>
      <c r="AN241" t="str">
        <f t="shared" si="250"/>
        <v>012</v>
      </c>
      <c r="AO241" t="str">
        <f t="shared" si="251"/>
        <v>TP-131 ﾊﾝﾖｳ</v>
      </c>
      <c r="AP241">
        <v>100</v>
      </c>
      <c r="AQ241" t="str">
        <f>""</f>
        <v/>
      </c>
      <c r="AR241" t="str">
        <f>""</f>
        <v/>
      </c>
      <c r="AS241" t="str">
        <f>""</f>
        <v/>
      </c>
      <c r="AT241" t="str">
        <f t="shared" si="252"/>
        <v>00</v>
      </c>
      <c r="AU241">
        <v>0.5</v>
      </c>
      <c r="AV241" t="str">
        <f>""</f>
        <v/>
      </c>
      <c r="AW241" t="str">
        <f t="shared" si="273"/>
        <v>06</v>
      </c>
      <c r="AX241" t="str">
        <f t="shared" si="274"/>
        <v>計画</v>
      </c>
      <c r="AY241" t="str">
        <f t="shared" si="275"/>
        <v>02</v>
      </c>
      <c r="AZ241" t="str">
        <f t="shared" si="276"/>
        <v>計画・２社</v>
      </c>
      <c r="BA241" t="str">
        <f>""</f>
        <v/>
      </c>
      <c r="BB241" t="str">
        <f t="shared" si="253"/>
        <v>ＴＰ１３１フタナシ</v>
      </c>
      <c r="BC241" t="str">
        <f t="shared" si="254"/>
        <v xml:space="preserve"> 335.000</v>
      </c>
      <c r="BD241" t="str">
        <f t="shared" si="255"/>
        <v xml:space="preserve"> 168.000</v>
      </c>
      <c r="BE241" t="str">
        <f t="shared" si="256"/>
        <v xml:space="preserve"> 103.000</v>
      </c>
      <c r="BF241" t="str">
        <f t="shared" si="257"/>
        <v xml:space="preserve">   0.006</v>
      </c>
      <c r="BG241" t="str">
        <f t="shared" si="280"/>
        <v xml:space="preserve">   1.410</v>
      </c>
      <c r="BH241" t="str">
        <f t="shared" si="283"/>
        <v>しない</v>
      </c>
      <c r="BI241" t="str">
        <f>""</f>
        <v/>
      </c>
      <c r="BJ241" t="str">
        <f t="shared" si="282"/>
        <v>MASTER01</v>
      </c>
      <c r="BK241" t="str">
        <f t="shared" si="281"/>
        <v>2023/01/17</v>
      </c>
      <c r="BL241" t="str">
        <f t="shared" si="268"/>
        <v>NE00</v>
      </c>
      <c r="BM241" t="str">
        <f t="shared" si="269"/>
        <v>１工工務Ｇ</v>
      </c>
      <c r="BN241" t="str">
        <f t="shared" si="278"/>
        <v>46548</v>
      </c>
      <c r="BO241" t="str">
        <f t="shared" si="279"/>
        <v>長畑　玲奈</v>
      </c>
    </row>
    <row r="242" spans="1:67">
      <c r="A242" t="s">
        <v>324</v>
      </c>
      <c r="B242" t="str">
        <f>""</f>
        <v/>
      </c>
      <c r="C242" t="str">
        <f>""</f>
        <v/>
      </c>
      <c r="D242" t="str">
        <f t="shared" si="270"/>
        <v>SHIM</v>
      </c>
      <c r="E242" t="str">
        <f t="shared" si="258"/>
        <v>1Y</v>
      </c>
      <c r="F242" t="str">
        <f t="shared" si="259"/>
        <v>第１工場</v>
      </c>
      <c r="G242" t="str">
        <f t="shared" si="260"/>
        <v>手配</v>
      </c>
      <c r="H242" t="str">
        <f t="shared" si="261"/>
        <v>Ｐ</v>
      </c>
      <c r="I242" t="str">
        <f t="shared" si="246"/>
        <v>6454</v>
      </c>
      <c r="J242" t="str">
        <f t="shared" si="247"/>
        <v>（株）ムロコーポレーション</v>
      </c>
      <c r="K242" t="str">
        <f t="shared" si="245"/>
        <v>01</v>
      </c>
      <c r="L242" t="str">
        <f>""</f>
        <v/>
      </c>
      <c r="M242" t="str">
        <f t="shared" si="284"/>
        <v>――</v>
      </c>
      <c r="N242" t="str">
        <f t="shared" si="284"/>
        <v>――</v>
      </c>
      <c r="O242" t="str">
        <f t="shared" si="262"/>
        <v>Ｍ</v>
      </c>
      <c r="P242" t="str">
        <f t="shared" si="263"/>
        <v>01</v>
      </c>
      <c r="Q242" t="str">
        <f t="shared" si="264"/>
        <v>第１</v>
      </c>
      <c r="R242" t="str">
        <f t="shared" si="265"/>
        <v>1Y</v>
      </c>
      <c r="S242" t="str">
        <f t="shared" si="266"/>
        <v>安城第１工場</v>
      </c>
      <c r="T242" t="str">
        <f t="shared" si="267"/>
        <v>直接</v>
      </c>
      <c r="U242" t="str">
        <f>""</f>
        <v/>
      </c>
      <c r="V242" t="str">
        <f>""</f>
        <v/>
      </c>
      <c r="W242" t="str">
        <f>""</f>
        <v/>
      </c>
      <c r="X242">
        <v>1</v>
      </c>
      <c r="Y242">
        <v>1</v>
      </c>
      <c r="Z242">
        <v>0.73</v>
      </c>
      <c r="AA242">
        <v>0.93</v>
      </c>
      <c r="AB242">
        <v>3</v>
      </c>
      <c r="AC242">
        <v>0.93</v>
      </c>
      <c r="AD242">
        <v>0.93</v>
      </c>
      <c r="AE242">
        <v>1.1000000000000001</v>
      </c>
      <c r="AF242">
        <v>0.5</v>
      </c>
      <c r="AG242" t="str">
        <f t="shared" si="248"/>
        <v>205</v>
      </c>
      <c r="AH242" t="str">
        <f t="shared" si="249"/>
        <v>（株）ムロコーポレーション</v>
      </c>
      <c r="AI242" t="str">
        <f>"029"</f>
        <v>029</v>
      </c>
      <c r="AJ242" t="str">
        <f>""</f>
        <v/>
      </c>
      <c r="AK242" t="str">
        <f>""</f>
        <v/>
      </c>
      <c r="AL242" t="str">
        <f t="shared" si="271"/>
        <v>0370</v>
      </c>
      <c r="AM242" t="str">
        <f t="shared" si="272"/>
        <v>ｼﾑ</v>
      </c>
      <c r="AN242" t="str">
        <f t="shared" si="250"/>
        <v>012</v>
      </c>
      <c r="AO242" t="str">
        <f t="shared" si="251"/>
        <v>TP-131 ﾊﾝﾖｳ</v>
      </c>
      <c r="AP242">
        <v>100</v>
      </c>
      <c r="AQ242" t="str">
        <f>""</f>
        <v/>
      </c>
      <c r="AR242" t="str">
        <f>""</f>
        <v/>
      </c>
      <c r="AS242" t="str">
        <f>""</f>
        <v/>
      </c>
      <c r="AT242" t="str">
        <f t="shared" si="252"/>
        <v>00</v>
      </c>
      <c r="AU242">
        <v>0.5</v>
      </c>
      <c r="AV242" t="str">
        <f>""</f>
        <v/>
      </c>
      <c r="AW242" t="str">
        <f t="shared" si="273"/>
        <v>06</v>
      </c>
      <c r="AX242" t="str">
        <f t="shared" si="274"/>
        <v>計画</v>
      </c>
      <c r="AY242" t="str">
        <f t="shared" si="275"/>
        <v>02</v>
      </c>
      <c r="AZ242" t="str">
        <f t="shared" si="276"/>
        <v>計画・２社</v>
      </c>
      <c r="BA242" t="str">
        <f>""</f>
        <v/>
      </c>
      <c r="BB242" t="str">
        <f t="shared" si="253"/>
        <v>ＴＰ１３１フタナシ</v>
      </c>
      <c r="BC242" t="str">
        <f t="shared" si="254"/>
        <v xml:space="preserve"> 335.000</v>
      </c>
      <c r="BD242" t="str">
        <f t="shared" si="255"/>
        <v xml:space="preserve"> 168.000</v>
      </c>
      <c r="BE242" t="str">
        <f t="shared" si="256"/>
        <v xml:space="preserve"> 103.000</v>
      </c>
      <c r="BF242" t="str">
        <f t="shared" si="257"/>
        <v xml:space="preserve">   0.006</v>
      </c>
      <c r="BG242" t="str">
        <f t="shared" si="280"/>
        <v xml:space="preserve">   1.410</v>
      </c>
      <c r="BH242" t="str">
        <f t="shared" si="283"/>
        <v>しない</v>
      </c>
      <c r="BI242" t="str">
        <f>""</f>
        <v/>
      </c>
      <c r="BJ242" t="str">
        <f t="shared" si="282"/>
        <v>MASTER01</v>
      </c>
      <c r="BK242" t="str">
        <f t="shared" si="281"/>
        <v>2023/01/17</v>
      </c>
      <c r="BL242" t="str">
        <f t="shared" si="268"/>
        <v>NE00</v>
      </c>
      <c r="BM242" t="str">
        <f t="shared" si="269"/>
        <v>１工工務Ｇ</v>
      </c>
      <c r="BN242" t="str">
        <f t="shared" si="278"/>
        <v>46548</v>
      </c>
      <c r="BO242" t="str">
        <f t="shared" si="279"/>
        <v>長畑　玲奈</v>
      </c>
    </row>
    <row r="243" spans="1:67">
      <c r="A243" t="s">
        <v>325</v>
      </c>
      <c r="B243" t="str">
        <f>""</f>
        <v/>
      </c>
      <c r="C243" t="str">
        <f>""</f>
        <v/>
      </c>
      <c r="D243" t="str">
        <f t="shared" si="270"/>
        <v>SHIM</v>
      </c>
      <c r="E243" t="str">
        <f t="shared" si="258"/>
        <v>1Y</v>
      </c>
      <c r="F243" t="str">
        <f t="shared" si="259"/>
        <v>第１工場</v>
      </c>
      <c r="G243" t="str">
        <f t="shared" si="260"/>
        <v>手配</v>
      </c>
      <c r="H243" t="str">
        <f t="shared" si="261"/>
        <v>Ｐ</v>
      </c>
      <c r="I243" t="str">
        <f t="shared" si="246"/>
        <v>6454</v>
      </c>
      <c r="J243" t="str">
        <f t="shared" si="247"/>
        <v>（株）ムロコーポレーション</v>
      </c>
      <c r="K243" t="str">
        <f t="shared" si="245"/>
        <v>01</v>
      </c>
      <c r="L243" t="str">
        <f>""</f>
        <v/>
      </c>
      <c r="M243" t="str">
        <f t="shared" si="284"/>
        <v>――</v>
      </c>
      <c r="N243" t="str">
        <f t="shared" si="284"/>
        <v>――</v>
      </c>
      <c r="O243" t="str">
        <f t="shared" si="262"/>
        <v>Ｍ</v>
      </c>
      <c r="P243" t="str">
        <f t="shared" si="263"/>
        <v>01</v>
      </c>
      <c r="Q243" t="str">
        <f t="shared" si="264"/>
        <v>第１</v>
      </c>
      <c r="R243" t="str">
        <f t="shared" si="265"/>
        <v>1Y</v>
      </c>
      <c r="S243" t="str">
        <f t="shared" si="266"/>
        <v>安城第１工場</v>
      </c>
      <c r="T243" t="str">
        <f t="shared" si="267"/>
        <v>直接</v>
      </c>
      <c r="U243" t="str">
        <f>""</f>
        <v/>
      </c>
      <c r="V243" t="str">
        <f>""</f>
        <v/>
      </c>
      <c r="W243" t="str">
        <f>""</f>
        <v/>
      </c>
      <c r="X243">
        <v>1</v>
      </c>
      <c r="Y243">
        <v>1</v>
      </c>
      <c r="Z243">
        <v>0.73</v>
      </c>
      <c r="AA243">
        <v>0.93</v>
      </c>
      <c r="AB243">
        <v>3</v>
      </c>
      <c r="AC243">
        <v>0.93</v>
      </c>
      <c r="AD243">
        <v>0.93</v>
      </c>
      <c r="AE243">
        <v>1.1000000000000001</v>
      </c>
      <c r="AF243">
        <v>0.5</v>
      </c>
      <c r="AG243" t="str">
        <f t="shared" si="248"/>
        <v>205</v>
      </c>
      <c r="AH243" t="str">
        <f t="shared" si="249"/>
        <v>（株）ムロコーポレーション</v>
      </c>
      <c r="AI243" t="str">
        <f>"030"</f>
        <v>030</v>
      </c>
      <c r="AJ243" t="str">
        <f>""</f>
        <v/>
      </c>
      <c r="AK243" t="str">
        <f>""</f>
        <v/>
      </c>
      <c r="AL243" t="str">
        <f t="shared" si="271"/>
        <v>0370</v>
      </c>
      <c r="AM243" t="str">
        <f t="shared" si="272"/>
        <v>ｼﾑ</v>
      </c>
      <c r="AN243" t="str">
        <f t="shared" si="250"/>
        <v>012</v>
      </c>
      <c r="AO243" t="str">
        <f t="shared" si="251"/>
        <v>TP-131 ﾊﾝﾖｳ</v>
      </c>
      <c r="AP243">
        <v>100</v>
      </c>
      <c r="AQ243" t="str">
        <f>""</f>
        <v/>
      </c>
      <c r="AR243" t="str">
        <f>""</f>
        <v/>
      </c>
      <c r="AS243" t="str">
        <f>""</f>
        <v/>
      </c>
      <c r="AT243" t="str">
        <f t="shared" si="252"/>
        <v>00</v>
      </c>
      <c r="AU243">
        <v>0.5</v>
      </c>
      <c r="AV243" t="str">
        <f>""</f>
        <v/>
      </c>
      <c r="AW243" t="str">
        <f t="shared" si="273"/>
        <v>06</v>
      </c>
      <c r="AX243" t="str">
        <f t="shared" si="274"/>
        <v>計画</v>
      </c>
      <c r="AY243" t="str">
        <f t="shared" si="275"/>
        <v>02</v>
      </c>
      <c r="AZ243" t="str">
        <f t="shared" si="276"/>
        <v>計画・２社</v>
      </c>
      <c r="BA243" t="str">
        <f>""</f>
        <v/>
      </c>
      <c r="BB243" t="str">
        <f t="shared" si="253"/>
        <v>ＴＰ１３１フタナシ</v>
      </c>
      <c r="BC243" t="str">
        <f t="shared" si="254"/>
        <v xml:space="preserve"> 335.000</v>
      </c>
      <c r="BD243" t="str">
        <f t="shared" si="255"/>
        <v xml:space="preserve"> 168.000</v>
      </c>
      <c r="BE243" t="str">
        <f t="shared" si="256"/>
        <v xml:space="preserve"> 103.000</v>
      </c>
      <c r="BF243" t="str">
        <f t="shared" si="257"/>
        <v xml:space="preserve">   0.006</v>
      </c>
      <c r="BG243" t="str">
        <f t="shared" si="280"/>
        <v xml:space="preserve">   1.410</v>
      </c>
      <c r="BH243" t="str">
        <f t="shared" si="283"/>
        <v>しない</v>
      </c>
      <c r="BI243" t="str">
        <f>""</f>
        <v/>
      </c>
      <c r="BJ243" t="str">
        <f t="shared" si="282"/>
        <v>MASTER01</v>
      </c>
      <c r="BK243" t="str">
        <f t="shared" si="281"/>
        <v>2023/01/17</v>
      </c>
      <c r="BL243" t="str">
        <f t="shared" si="268"/>
        <v>NE00</v>
      </c>
      <c r="BM243" t="str">
        <f t="shared" si="269"/>
        <v>１工工務Ｇ</v>
      </c>
      <c r="BN243" t="str">
        <f t="shared" si="278"/>
        <v>46548</v>
      </c>
      <c r="BO243" t="str">
        <f t="shared" si="279"/>
        <v>長畑　玲奈</v>
      </c>
    </row>
    <row r="244" spans="1:67">
      <c r="A244" t="s">
        <v>326</v>
      </c>
      <c r="B244" t="str">
        <f>""</f>
        <v/>
      </c>
      <c r="C244" t="str">
        <f>""</f>
        <v/>
      </c>
      <c r="D244" t="str">
        <f t="shared" si="270"/>
        <v>SHIM</v>
      </c>
      <c r="E244" t="str">
        <f t="shared" si="258"/>
        <v>1Y</v>
      </c>
      <c r="F244" t="str">
        <f t="shared" si="259"/>
        <v>第１工場</v>
      </c>
      <c r="G244" t="str">
        <f t="shared" si="260"/>
        <v>手配</v>
      </c>
      <c r="H244" t="str">
        <f t="shared" si="261"/>
        <v>Ｐ</v>
      </c>
      <c r="I244" t="str">
        <f t="shared" si="246"/>
        <v>6454</v>
      </c>
      <c r="J244" t="str">
        <f t="shared" si="247"/>
        <v>（株）ムロコーポレーション</v>
      </c>
      <c r="K244" t="str">
        <f t="shared" si="245"/>
        <v>01</v>
      </c>
      <c r="L244" t="str">
        <f>""</f>
        <v/>
      </c>
      <c r="M244" t="str">
        <f t="shared" si="284"/>
        <v>――</v>
      </c>
      <c r="N244" t="str">
        <f t="shared" si="284"/>
        <v>――</v>
      </c>
      <c r="O244" t="str">
        <f t="shared" si="262"/>
        <v>Ｍ</v>
      </c>
      <c r="P244" t="str">
        <f t="shared" si="263"/>
        <v>01</v>
      </c>
      <c r="Q244" t="str">
        <f t="shared" si="264"/>
        <v>第１</v>
      </c>
      <c r="R244" t="str">
        <f t="shared" si="265"/>
        <v>1Y</v>
      </c>
      <c r="S244" t="str">
        <f t="shared" si="266"/>
        <v>安城第１工場</v>
      </c>
      <c r="T244" t="str">
        <f t="shared" si="267"/>
        <v>直接</v>
      </c>
      <c r="U244" t="str">
        <f>""</f>
        <v/>
      </c>
      <c r="V244" t="str">
        <f>""</f>
        <v/>
      </c>
      <c r="W244" t="str">
        <f>""</f>
        <v/>
      </c>
      <c r="X244">
        <v>1</v>
      </c>
      <c r="Y244">
        <v>1</v>
      </c>
      <c r="Z244">
        <v>0.73</v>
      </c>
      <c r="AA244">
        <v>0.93</v>
      </c>
      <c r="AB244">
        <v>3</v>
      </c>
      <c r="AC244">
        <v>0.93</v>
      </c>
      <c r="AD244">
        <v>0.93</v>
      </c>
      <c r="AE244">
        <v>1.1000000000000001</v>
      </c>
      <c r="AF244">
        <v>0.5</v>
      </c>
      <c r="AG244" t="str">
        <f t="shared" si="248"/>
        <v>205</v>
      </c>
      <c r="AH244" t="str">
        <f t="shared" si="249"/>
        <v>（株）ムロコーポレーション</v>
      </c>
      <c r="AI244" t="str">
        <f>"031"</f>
        <v>031</v>
      </c>
      <c r="AJ244" t="str">
        <f>""</f>
        <v/>
      </c>
      <c r="AK244" t="str">
        <f>""</f>
        <v/>
      </c>
      <c r="AL244" t="str">
        <f t="shared" si="271"/>
        <v>0370</v>
      </c>
      <c r="AM244" t="str">
        <f t="shared" si="272"/>
        <v>ｼﾑ</v>
      </c>
      <c r="AN244" t="str">
        <f t="shared" si="250"/>
        <v>012</v>
      </c>
      <c r="AO244" t="str">
        <f t="shared" si="251"/>
        <v>TP-131 ﾊﾝﾖｳ</v>
      </c>
      <c r="AP244">
        <v>100</v>
      </c>
      <c r="AQ244" t="str">
        <f>""</f>
        <v/>
      </c>
      <c r="AR244" t="str">
        <f>""</f>
        <v/>
      </c>
      <c r="AS244" t="str">
        <f>""</f>
        <v/>
      </c>
      <c r="AT244" t="str">
        <f t="shared" si="252"/>
        <v>00</v>
      </c>
      <c r="AU244">
        <v>0.5</v>
      </c>
      <c r="AV244" t="str">
        <f>""</f>
        <v/>
      </c>
      <c r="AW244" t="str">
        <f t="shared" si="273"/>
        <v>06</v>
      </c>
      <c r="AX244" t="str">
        <f t="shared" si="274"/>
        <v>計画</v>
      </c>
      <c r="AY244" t="str">
        <f t="shared" si="275"/>
        <v>02</v>
      </c>
      <c r="AZ244" t="str">
        <f t="shared" si="276"/>
        <v>計画・２社</v>
      </c>
      <c r="BA244" t="str">
        <f>""</f>
        <v/>
      </c>
      <c r="BB244" t="str">
        <f t="shared" si="253"/>
        <v>ＴＰ１３１フタナシ</v>
      </c>
      <c r="BC244" t="str">
        <f t="shared" si="254"/>
        <v xml:space="preserve"> 335.000</v>
      </c>
      <c r="BD244" t="str">
        <f t="shared" si="255"/>
        <v xml:space="preserve"> 168.000</v>
      </c>
      <c r="BE244" t="str">
        <f t="shared" si="256"/>
        <v xml:space="preserve"> 103.000</v>
      </c>
      <c r="BF244" t="str">
        <f t="shared" si="257"/>
        <v xml:space="preserve">   0.006</v>
      </c>
      <c r="BG244" t="str">
        <f t="shared" si="280"/>
        <v xml:space="preserve">   1.410</v>
      </c>
      <c r="BH244" t="str">
        <f t="shared" si="283"/>
        <v>しない</v>
      </c>
      <c r="BI244" t="str">
        <f>""</f>
        <v/>
      </c>
      <c r="BJ244" t="str">
        <f t="shared" si="282"/>
        <v>MASTER01</v>
      </c>
      <c r="BK244" t="str">
        <f t="shared" si="281"/>
        <v>2023/01/17</v>
      </c>
      <c r="BL244" t="str">
        <f t="shared" si="268"/>
        <v>NE00</v>
      </c>
      <c r="BM244" t="str">
        <f t="shared" si="269"/>
        <v>１工工務Ｇ</v>
      </c>
      <c r="BN244" t="str">
        <f t="shared" si="278"/>
        <v>46548</v>
      </c>
      <c r="BO244" t="str">
        <f t="shared" si="279"/>
        <v>長畑　玲奈</v>
      </c>
    </row>
    <row r="245" spans="1:67">
      <c r="A245" t="s">
        <v>327</v>
      </c>
      <c r="B245" t="str">
        <f>""</f>
        <v/>
      </c>
      <c r="C245" t="str">
        <f>""</f>
        <v/>
      </c>
      <c r="D245" t="str">
        <f t="shared" si="270"/>
        <v>SHIM</v>
      </c>
      <c r="E245" t="str">
        <f t="shared" si="258"/>
        <v>1Y</v>
      </c>
      <c r="F245" t="str">
        <f t="shared" si="259"/>
        <v>第１工場</v>
      </c>
      <c r="G245" t="str">
        <f t="shared" si="260"/>
        <v>手配</v>
      </c>
      <c r="H245" t="str">
        <f t="shared" si="261"/>
        <v>Ｐ</v>
      </c>
      <c r="I245" t="str">
        <f t="shared" si="246"/>
        <v>6454</v>
      </c>
      <c r="J245" t="str">
        <f t="shared" si="247"/>
        <v>（株）ムロコーポレーション</v>
      </c>
      <c r="K245" t="str">
        <f t="shared" si="245"/>
        <v>01</v>
      </c>
      <c r="L245" t="str">
        <f>""</f>
        <v/>
      </c>
      <c r="M245" t="str">
        <f t="shared" si="284"/>
        <v>――</v>
      </c>
      <c r="N245" t="str">
        <f t="shared" si="284"/>
        <v>――</v>
      </c>
      <c r="O245" t="str">
        <f t="shared" si="262"/>
        <v>Ｍ</v>
      </c>
      <c r="P245" t="str">
        <f t="shared" si="263"/>
        <v>01</v>
      </c>
      <c r="Q245" t="str">
        <f t="shared" si="264"/>
        <v>第１</v>
      </c>
      <c r="R245" t="str">
        <f t="shared" si="265"/>
        <v>1Y</v>
      </c>
      <c r="S245" t="str">
        <f t="shared" si="266"/>
        <v>安城第１工場</v>
      </c>
      <c r="T245" t="str">
        <f t="shared" si="267"/>
        <v>直接</v>
      </c>
      <c r="U245" t="str">
        <f>""</f>
        <v/>
      </c>
      <c r="V245" t="str">
        <f>""</f>
        <v/>
      </c>
      <c r="W245" t="str">
        <f>""</f>
        <v/>
      </c>
      <c r="X245">
        <v>1</v>
      </c>
      <c r="Y245">
        <v>1</v>
      </c>
      <c r="Z245">
        <v>0.73</v>
      </c>
      <c r="AA245">
        <v>0.93</v>
      </c>
      <c r="AB245">
        <v>3</v>
      </c>
      <c r="AC245">
        <v>0.93</v>
      </c>
      <c r="AD245">
        <v>0.93</v>
      </c>
      <c r="AE245">
        <v>1.1000000000000001</v>
      </c>
      <c r="AF245">
        <v>0.5</v>
      </c>
      <c r="AG245" t="str">
        <f t="shared" si="248"/>
        <v>205</v>
      </c>
      <c r="AH245" t="str">
        <f t="shared" si="249"/>
        <v>（株）ムロコーポレーション</v>
      </c>
      <c r="AI245" t="str">
        <f>"032"</f>
        <v>032</v>
      </c>
      <c r="AJ245" t="str">
        <f>""</f>
        <v/>
      </c>
      <c r="AK245" t="str">
        <f>""</f>
        <v/>
      </c>
      <c r="AL245" t="str">
        <f t="shared" si="271"/>
        <v>0370</v>
      </c>
      <c r="AM245" t="str">
        <f t="shared" si="272"/>
        <v>ｼﾑ</v>
      </c>
      <c r="AN245" t="str">
        <f t="shared" si="250"/>
        <v>012</v>
      </c>
      <c r="AO245" t="str">
        <f t="shared" si="251"/>
        <v>TP-131 ﾊﾝﾖｳ</v>
      </c>
      <c r="AP245">
        <v>100</v>
      </c>
      <c r="AQ245" t="str">
        <f>""</f>
        <v/>
      </c>
      <c r="AR245" t="str">
        <f>""</f>
        <v/>
      </c>
      <c r="AS245" t="str">
        <f>""</f>
        <v/>
      </c>
      <c r="AT245" t="str">
        <f t="shared" si="252"/>
        <v>00</v>
      </c>
      <c r="AU245">
        <v>0.5</v>
      </c>
      <c r="AV245" t="str">
        <f>""</f>
        <v/>
      </c>
      <c r="AW245" t="str">
        <f t="shared" si="273"/>
        <v>06</v>
      </c>
      <c r="AX245" t="str">
        <f t="shared" si="274"/>
        <v>計画</v>
      </c>
      <c r="AY245" t="str">
        <f t="shared" si="275"/>
        <v>02</v>
      </c>
      <c r="AZ245" t="str">
        <f t="shared" si="276"/>
        <v>計画・２社</v>
      </c>
      <c r="BA245" t="str">
        <f>""</f>
        <v/>
      </c>
      <c r="BB245" t="str">
        <f t="shared" si="253"/>
        <v>ＴＰ１３１フタナシ</v>
      </c>
      <c r="BC245" t="str">
        <f t="shared" si="254"/>
        <v xml:space="preserve"> 335.000</v>
      </c>
      <c r="BD245" t="str">
        <f t="shared" si="255"/>
        <v xml:space="preserve"> 168.000</v>
      </c>
      <c r="BE245" t="str">
        <f t="shared" si="256"/>
        <v xml:space="preserve"> 103.000</v>
      </c>
      <c r="BF245" t="str">
        <f t="shared" si="257"/>
        <v xml:space="preserve">   0.006</v>
      </c>
      <c r="BG245" t="str">
        <f t="shared" si="280"/>
        <v xml:space="preserve">   1.410</v>
      </c>
      <c r="BH245" t="str">
        <f t="shared" si="283"/>
        <v>しない</v>
      </c>
      <c r="BI245" t="str">
        <f>""</f>
        <v/>
      </c>
      <c r="BJ245" t="str">
        <f t="shared" si="282"/>
        <v>MASTER01</v>
      </c>
      <c r="BK245" t="str">
        <f t="shared" si="281"/>
        <v>2023/01/17</v>
      </c>
      <c r="BL245" t="str">
        <f t="shared" si="268"/>
        <v>NE00</v>
      </c>
      <c r="BM245" t="str">
        <f t="shared" si="269"/>
        <v>１工工務Ｇ</v>
      </c>
      <c r="BN245" t="str">
        <f t="shared" si="278"/>
        <v>46548</v>
      </c>
      <c r="BO245" t="str">
        <f t="shared" si="279"/>
        <v>長畑　玲奈</v>
      </c>
    </row>
    <row r="246" spans="1:67">
      <c r="A246" t="s">
        <v>328</v>
      </c>
      <c r="B246" t="str">
        <f>""</f>
        <v/>
      </c>
      <c r="C246" t="str">
        <f>""</f>
        <v/>
      </c>
      <c r="D246" t="str">
        <f t="shared" si="270"/>
        <v>SHIM</v>
      </c>
      <c r="E246" t="str">
        <f t="shared" si="258"/>
        <v>1Y</v>
      </c>
      <c r="F246" t="str">
        <f t="shared" si="259"/>
        <v>第１工場</v>
      </c>
      <c r="G246" t="str">
        <f t="shared" si="260"/>
        <v>手配</v>
      </c>
      <c r="H246" t="str">
        <f t="shared" si="261"/>
        <v>Ｐ</v>
      </c>
      <c r="I246" t="str">
        <f t="shared" si="246"/>
        <v>6454</v>
      </c>
      <c r="J246" t="str">
        <f t="shared" si="247"/>
        <v>（株）ムロコーポレーション</v>
      </c>
      <c r="K246" t="str">
        <f t="shared" si="245"/>
        <v>01</v>
      </c>
      <c r="L246" t="str">
        <f>""</f>
        <v/>
      </c>
      <c r="M246" t="str">
        <f t="shared" si="284"/>
        <v>――</v>
      </c>
      <c r="N246" t="str">
        <f t="shared" si="284"/>
        <v>――</v>
      </c>
      <c r="O246" t="str">
        <f t="shared" si="262"/>
        <v>Ｍ</v>
      </c>
      <c r="P246" t="str">
        <f t="shared" si="263"/>
        <v>01</v>
      </c>
      <c r="Q246" t="str">
        <f t="shared" si="264"/>
        <v>第１</v>
      </c>
      <c r="R246" t="str">
        <f t="shared" si="265"/>
        <v>1Y</v>
      </c>
      <c r="S246" t="str">
        <f t="shared" si="266"/>
        <v>安城第１工場</v>
      </c>
      <c r="T246" t="str">
        <f t="shared" si="267"/>
        <v>直接</v>
      </c>
      <c r="U246" t="str">
        <f>""</f>
        <v/>
      </c>
      <c r="V246" t="str">
        <f>""</f>
        <v/>
      </c>
      <c r="W246" t="str">
        <f>""</f>
        <v/>
      </c>
      <c r="X246">
        <v>1</v>
      </c>
      <c r="Y246">
        <v>1</v>
      </c>
      <c r="Z246">
        <v>0.73</v>
      </c>
      <c r="AA246">
        <v>0.93</v>
      </c>
      <c r="AB246">
        <v>3</v>
      </c>
      <c r="AC246">
        <v>0.93</v>
      </c>
      <c r="AD246">
        <v>0.93</v>
      </c>
      <c r="AE246">
        <v>1.1000000000000001</v>
      </c>
      <c r="AF246">
        <v>0.5</v>
      </c>
      <c r="AG246" t="str">
        <f t="shared" si="248"/>
        <v>205</v>
      </c>
      <c r="AH246" t="str">
        <f t="shared" si="249"/>
        <v>（株）ムロコーポレーション</v>
      </c>
      <c r="AI246" t="str">
        <f>"033"</f>
        <v>033</v>
      </c>
      <c r="AJ246" t="str">
        <f>""</f>
        <v/>
      </c>
      <c r="AK246" t="str">
        <f>""</f>
        <v/>
      </c>
      <c r="AL246" t="str">
        <f t="shared" si="271"/>
        <v>0370</v>
      </c>
      <c r="AM246" t="str">
        <f t="shared" si="272"/>
        <v>ｼﾑ</v>
      </c>
      <c r="AN246" t="str">
        <f t="shared" si="250"/>
        <v>012</v>
      </c>
      <c r="AO246" t="str">
        <f t="shared" si="251"/>
        <v>TP-131 ﾊﾝﾖｳ</v>
      </c>
      <c r="AP246">
        <v>100</v>
      </c>
      <c r="AQ246" t="str">
        <f>""</f>
        <v/>
      </c>
      <c r="AR246" t="str">
        <f>""</f>
        <v/>
      </c>
      <c r="AS246" t="str">
        <f>""</f>
        <v/>
      </c>
      <c r="AT246" t="str">
        <f t="shared" si="252"/>
        <v>00</v>
      </c>
      <c r="AU246">
        <v>0.5</v>
      </c>
      <c r="AV246" t="str">
        <f>""</f>
        <v/>
      </c>
      <c r="AW246" t="str">
        <f t="shared" si="273"/>
        <v>06</v>
      </c>
      <c r="AX246" t="str">
        <f t="shared" si="274"/>
        <v>計画</v>
      </c>
      <c r="AY246" t="str">
        <f t="shared" si="275"/>
        <v>02</v>
      </c>
      <c r="AZ246" t="str">
        <f t="shared" si="276"/>
        <v>計画・２社</v>
      </c>
      <c r="BA246" t="str">
        <f>""</f>
        <v/>
      </c>
      <c r="BB246" t="str">
        <f t="shared" si="253"/>
        <v>ＴＰ１３１フタナシ</v>
      </c>
      <c r="BC246" t="str">
        <f t="shared" si="254"/>
        <v xml:space="preserve"> 335.000</v>
      </c>
      <c r="BD246" t="str">
        <f t="shared" si="255"/>
        <v xml:space="preserve"> 168.000</v>
      </c>
      <c r="BE246" t="str">
        <f t="shared" si="256"/>
        <v xml:space="preserve"> 103.000</v>
      </c>
      <c r="BF246" t="str">
        <f t="shared" si="257"/>
        <v xml:space="preserve">   0.006</v>
      </c>
      <c r="BG246" t="str">
        <f t="shared" si="280"/>
        <v xml:space="preserve">   1.410</v>
      </c>
      <c r="BH246" t="str">
        <f t="shared" si="283"/>
        <v>しない</v>
      </c>
      <c r="BI246" t="str">
        <f>""</f>
        <v/>
      </c>
      <c r="BJ246" t="str">
        <f t="shared" si="282"/>
        <v>MASTER01</v>
      </c>
      <c r="BK246" t="str">
        <f t="shared" si="281"/>
        <v>2023/01/17</v>
      </c>
      <c r="BL246" t="str">
        <f t="shared" si="268"/>
        <v>NE00</v>
      </c>
      <c r="BM246" t="str">
        <f t="shared" si="269"/>
        <v>１工工務Ｇ</v>
      </c>
      <c r="BN246" t="str">
        <f t="shared" si="278"/>
        <v>46548</v>
      </c>
      <c r="BO246" t="str">
        <f t="shared" si="279"/>
        <v>長畑　玲奈</v>
      </c>
    </row>
    <row r="247" spans="1:67">
      <c r="A247" t="s">
        <v>329</v>
      </c>
      <c r="B247" t="str">
        <f>""</f>
        <v/>
      </c>
      <c r="C247" t="str">
        <f>""</f>
        <v/>
      </c>
      <c r="D247" t="str">
        <f t="shared" si="270"/>
        <v>SHIM</v>
      </c>
      <c r="E247" t="str">
        <f t="shared" si="258"/>
        <v>1Y</v>
      </c>
      <c r="F247" t="str">
        <f t="shared" si="259"/>
        <v>第１工場</v>
      </c>
      <c r="G247" t="str">
        <f t="shared" si="260"/>
        <v>手配</v>
      </c>
      <c r="H247" t="str">
        <f t="shared" si="261"/>
        <v>Ｐ</v>
      </c>
      <c r="I247" t="str">
        <f t="shared" si="246"/>
        <v>6454</v>
      </c>
      <c r="J247" t="str">
        <f t="shared" si="247"/>
        <v>（株）ムロコーポレーション</v>
      </c>
      <c r="K247" t="str">
        <f t="shared" si="245"/>
        <v>01</v>
      </c>
      <c r="L247" t="str">
        <f>""</f>
        <v/>
      </c>
      <c r="M247" t="str">
        <f t="shared" si="284"/>
        <v>――</v>
      </c>
      <c r="N247" t="str">
        <f t="shared" si="284"/>
        <v>――</v>
      </c>
      <c r="O247" t="str">
        <f t="shared" si="262"/>
        <v>Ｍ</v>
      </c>
      <c r="P247" t="str">
        <f t="shared" si="263"/>
        <v>01</v>
      </c>
      <c r="Q247" t="str">
        <f t="shared" si="264"/>
        <v>第１</v>
      </c>
      <c r="R247" t="str">
        <f t="shared" si="265"/>
        <v>1Y</v>
      </c>
      <c r="S247" t="str">
        <f t="shared" si="266"/>
        <v>安城第１工場</v>
      </c>
      <c r="T247" t="str">
        <f t="shared" si="267"/>
        <v>直接</v>
      </c>
      <c r="U247" t="str">
        <f>""</f>
        <v/>
      </c>
      <c r="V247" t="str">
        <f>""</f>
        <v/>
      </c>
      <c r="W247" t="str">
        <f>""</f>
        <v/>
      </c>
      <c r="X247">
        <v>1</v>
      </c>
      <c r="Y247">
        <v>1</v>
      </c>
      <c r="Z247">
        <v>0.73</v>
      </c>
      <c r="AA247">
        <v>0.93</v>
      </c>
      <c r="AB247">
        <v>3</v>
      </c>
      <c r="AC247">
        <v>0.93</v>
      </c>
      <c r="AD247">
        <v>0.93</v>
      </c>
      <c r="AE247">
        <v>1.1000000000000001</v>
      </c>
      <c r="AF247">
        <v>0.5</v>
      </c>
      <c r="AG247" t="str">
        <f t="shared" si="248"/>
        <v>205</v>
      </c>
      <c r="AH247" t="str">
        <f t="shared" si="249"/>
        <v>（株）ムロコーポレーション</v>
      </c>
      <c r="AI247" t="str">
        <f>"034"</f>
        <v>034</v>
      </c>
      <c r="AJ247" t="str">
        <f>""</f>
        <v/>
      </c>
      <c r="AK247" t="str">
        <f>""</f>
        <v/>
      </c>
      <c r="AL247" t="str">
        <f t="shared" si="271"/>
        <v>0370</v>
      </c>
      <c r="AM247" t="str">
        <f t="shared" si="272"/>
        <v>ｼﾑ</v>
      </c>
      <c r="AN247" t="str">
        <f t="shared" si="250"/>
        <v>012</v>
      </c>
      <c r="AO247" t="str">
        <f t="shared" si="251"/>
        <v>TP-131 ﾊﾝﾖｳ</v>
      </c>
      <c r="AP247">
        <v>100</v>
      </c>
      <c r="AQ247" t="str">
        <f>""</f>
        <v/>
      </c>
      <c r="AR247" t="str">
        <f>""</f>
        <v/>
      </c>
      <c r="AS247" t="str">
        <f>""</f>
        <v/>
      </c>
      <c r="AT247" t="str">
        <f t="shared" si="252"/>
        <v>00</v>
      </c>
      <c r="AU247">
        <v>0.5</v>
      </c>
      <c r="AV247" t="str">
        <f>""</f>
        <v/>
      </c>
      <c r="AW247" t="str">
        <f t="shared" si="273"/>
        <v>06</v>
      </c>
      <c r="AX247" t="str">
        <f t="shared" si="274"/>
        <v>計画</v>
      </c>
      <c r="AY247" t="str">
        <f t="shared" si="275"/>
        <v>02</v>
      </c>
      <c r="AZ247" t="str">
        <f t="shared" si="276"/>
        <v>計画・２社</v>
      </c>
      <c r="BA247" t="str">
        <f>""</f>
        <v/>
      </c>
      <c r="BB247" t="str">
        <f t="shared" si="253"/>
        <v>ＴＰ１３１フタナシ</v>
      </c>
      <c r="BC247" t="str">
        <f t="shared" si="254"/>
        <v xml:space="preserve"> 335.000</v>
      </c>
      <c r="BD247" t="str">
        <f t="shared" si="255"/>
        <v xml:space="preserve"> 168.000</v>
      </c>
      <c r="BE247" t="str">
        <f t="shared" si="256"/>
        <v xml:space="preserve"> 103.000</v>
      </c>
      <c r="BF247" t="str">
        <f t="shared" si="257"/>
        <v xml:space="preserve">   0.006</v>
      </c>
      <c r="BG247" t="str">
        <f t="shared" si="280"/>
        <v xml:space="preserve">   1.410</v>
      </c>
      <c r="BH247" t="str">
        <f t="shared" si="283"/>
        <v>しない</v>
      </c>
      <c r="BI247" t="str">
        <f>""</f>
        <v/>
      </c>
      <c r="BJ247" t="str">
        <f t="shared" si="282"/>
        <v>MASTER01</v>
      </c>
      <c r="BK247" t="str">
        <f t="shared" si="281"/>
        <v>2023/01/17</v>
      </c>
      <c r="BL247" t="str">
        <f t="shared" si="268"/>
        <v>NE00</v>
      </c>
      <c r="BM247" t="str">
        <f t="shared" si="269"/>
        <v>１工工務Ｇ</v>
      </c>
      <c r="BN247" t="str">
        <f t="shared" si="278"/>
        <v>46548</v>
      </c>
      <c r="BO247" t="str">
        <f t="shared" si="279"/>
        <v>長畑　玲奈</v>
      </c>
    </row>
    <row r="248" spans="1:67">
      <c r="A248" t="s">
        <v>330</v>
      </c>
      <c r="B248" t="str">
        <f>""</f>
        <v/>
      </c>
      <c r="C248" t="str">
        <f>""</f>
        <v/>
      </c>
      <c r="D248" t="str">
        <f t="shared" si="270"/>
        <v>SHIM</v>
      </c>
      <c r="E248" t="str">
        <f t="shared" si="258"/>
        <v>1Y</v>
      </c>
      <c r="F248" t="str">
        <f t="shared" si="259"/>
        <v>第１工場</v>
      </c>
      <c r="G248" t="str">
        <f t="shared" si="260"/>
        <v>手配</v>
      </c>
      <c r="H248" t="str">
        <f t="shared" si="261"/>
        <v>Ｐ</v>
      </c>
      <c r="I248" t="str">
        <f t="shared" si="246"/>
        <v>6454</v>
      </c>
      <c r="J248" t="str">
        <f t="shared" si="247"/>
        <v>（株）ムロコーポレーション</v>
      </c>
      <c r="K248" t="str">
        <f t="shared" si="245"/>
        <v>01</v>
      </c>
      <c r="L248" t="str">
        <f>""</f>
        <v/>
      </c>
      <c r="M248" t="str">
        <f t="shared" si="284"/>
        <v>――</v>
      </c>
      <c r="N248" t="str">
        <f t="shared" si="284"/>
        <v>――</v>
      </c>
      <c r="O248" t="str">
        <f t="shared" si="262"/>
        <v>Ｍ</v>
      </c>
      <c r="P248" t="str">
        <f t="shared" si="263"/>
        <v>01</v>
      </c>
      <c r="Q248" t="str">
        <f t="shared" si="264"/>
        <v>第１</v>
      </c>
      <c r="R248" t="str">
        <f t="shared" si="265"/>
        <v>1Y</v>
      </c>
      <c r="S248" t="str">
        <f t="shared" si="266"/>
        <v>安城第１工場</v>
      </c>
      <c r="T248" t="str">
        <f t="shared" si="267"/>
        <v>直接</v>
      </c>
      <c r="U248" t="str">
        <f>""</f>
        <v/>
      </c>
      <c r="V248" t="str">
        <f>""</f>
        <v/>
      </c>
      <c r="W248" t="str">
        <f>""</f>
        <v/>
      </c>
      <c r="X248">
        <v>1</v>
      </c>
      <c r="Y248">
        <v>1</v>
      </c>
      <c r="Z248">
        <v>0.73</v>
      </c>
      <c r="AA248">
        <v>0.93</v>
      </c>
      <c r="AB248">
        <v>3</v>
      </c>
      <c r="AC248">
        <v>0.93</v>
      </c>
      <c r="AD248">
        <v>0.93</v>
      </c>
      <c r="AE248">
        <v>1.1000000000000001</v>
      </c>
      <c r="AF248">
        <v>0.5</v>
      </c>
      <c r="AG248" t="str">
        <f t="shared" si="248"/>
        <v>205</v>
      </c>
      <c r="AH248" t="str">
        <f t="shared" si="249"/>
        <v>（株）ムロコーポレーション</v>
      </c>
      <c r="AI248" t="str">
        <f>"035"</f>
        <v>035</v>
      </c>
      <c r="AJ248" t="str">
        <f>""</f>
        <v/>
      </c>
      <c r="AK248" t="str">
        <f>""</f>
        <v/>
      </c>
      <c r="AL248" t="str">
        <f t="shared" si="271"/>
        <v>0370</v>
      </c>
      <c r="AM248" t="str">
        <f t="shared" si="272"/>
        <v>ｼﾑ</v>
      </c>
      <c r="AN248" t="str">
        <f t="shared" si="250"/>
        <v>012</v>
      </c>
      <c r="AO248" t="str">
        <f t="shared" si="251"/>
        <v>TP-131 ﾊﾝﾖｳ</v>
      </c>
      <c r="AP248">
        <v>100</v>
      </c>
      <c r="AQ248" t="str">
        <f>""</f>
        <v/>
      </c>
      <c r="AR248" t="str">
        <f>""</f>
        <v/>
      </c>
      <c r="AS248" t="str">
        <f>""</f>
        <v/>
      </c>
      <c r="AT248" t="str">
        <f t="shared" si="252"/>
        <v>00</v>
      </c>
      <c r="AU248">
        <v>0.5</v>
      </c>
      <c r="AV248" t="str">
        <f>""</f>
        <v/>
      </c>
      <c r="AW248" t="str">
        <f t="shared" si="273"/>
        <v>06</v>
      </c>
      <c r="AX248" t="str">
        <f t="shared" si="274"/>
        <v>計画</v>
      </c>
      <c r="AY248" t="str">
        <f t="shared" si="275"/>
        <v>02</v>
      </c>
      <c r="AZ248" t="str">
        <f t="shared" si="276"/>
        <v>計画・２社</v>
      </c>
      <c r="BA248" t="str">
        <f>""</f>
        <v/>
      </c>
      <c r="BB248" t="str">
        <f t="shared" si="253"/>
        <v>ＴＰ１３１フタナシ</v>
      </c>
      <c r="BC248" t="str">
        <f t="shared" si="254"/>
        <v xml:space="preserve"> 335.000</v>
      </c>
      <c r="BD248" t="str">
        <f t="shared" si="255"/>
        <v xml:space="preserve"> 168.000</v>
      </c>
      <c r="BE248" t="str">
        <f t="shared" si="256"/>
        <v xml:space="preserve"> 103.000</v>
      </c>
      <c r="BF248" t="str">
        <f t="shared" si="257"/>
        <v xml:space="preserve">   0.006</v>
      </c>
      <c r="BG248" t="str">
        <f t="shared" si="280"/>
        <v xml:space="preserve">   1.410</v>
      </c>
      <c r="BH248" t="str">
        <f t="shared" si="283"/>
        <v>しない</v>
      </c>
      <c r="BI248" t="str">
        <f>""</f>
        <v/>
      </c>
      <c r="BJ248" t="str">
        <f t="shared" si="282"/>
        <v>MASTER01</v>
      </c>
      <c r="BK248" t="str">
        <f t="shared" si="281"/>
        <v>2023/01/17</v>
      </c>
      <c r="BL248" t="str">
        <f t="shared" si="268"/>
        <v>NE00</v>
      </c>
      <c r="BM248" t="str">
        <f t="shared" si="269"/>
        <v>１工工務Ｇ</v>
      </c>
      <c r="BN248" t="str">
        <f t="shared" si="278"/>
        <v>46548</v>
      </c>
      <c r="BO248" t="str">
        <f t="shared" si="279"/>
        <v>長畑　玲奈</v>
      </c>
    </row>
    <row r="249" spans="1:67">
      <c r="A249" t="s">
        <v>331</v>
      </c>
      <c r="B249" t="str">
        <f>""</f>
        <v/>
      </c>
      <c r="C249" t="str">
        <f>""</f>
        <v/>
      </c>
      <c r="D249" t="str">
        <f t="shared" si="270"/>
        <v>SHIM</v>
      </c>
      <c r="E249" t="str">
        <f t="shared" si="258"/>
        <v>1Y</v>
      </c>
      <c r="F249" t="str">
        <f t="shared" si="259"/>
        <v>第１工場</v>
      </c>
      <c r="G249" t="str">
        <f t="shared" si="260"/>
        <v>手配</v>
      </c>
      <c r="H249" t="str">
        <f t="shared" si="261"/>
        <v>Ｐ</v>
      </c>
      <c r="I249" t="str">
        <f t="shared" si="246"/>
        <v>6454</v>
      </c>
      <c r="J249" t="str">
        <f t="shared" si="247"/>
        <v>（株）ムロコーポレーション</v>
      </c>
      <c r="K249" t="str">
        <f t="shared" si="245"/>
        <v>01</v>
      </c>
      <c r="L249" t="str">
        <f>""</f>
        <v/>
      </c>
      <c r="M249" t="str">
        <f t="shared" si="284"/>
        <v>――</v>
      </c>
      <c r="N249" t="str">
        <f t="shared" si="284"/>
        <v>――</v>
      </c>
      <c r="O249" t="str">
        <f t="shared" si="262"/>
        <v>Ｍ</v>
      </c>
      <c r="P249" t="str">
        <f t="shared" si="263"/>
        <v>01</v>
      </c>
      <c r="Q249" t="str">
        <f t="shared" si="264"/>
        <v>第１</v>
      </c>
      <c r="R249" t="str">
        <f t="shared" si="265"/>
        <v>1Y</v>
      </c>
      <c r="S249" t="str">
        <f t="shared" si="266"/>
        <v>安城第１工場</v>
      </c>
      <c r="T249" t="str">
        <f t="shared" si="267"/>
        <v>直接</v>
      </c>
      <c r="U249" t="str">
        <f>""</f>
        <v/>
      </c>
      <c r="V249" t="str">
        <f>""</f>
        <v/>
      </c>
      <c r="W249" t="str">
        <f>""</f>
        <v/>
      </c>
      <c r="X249">
        <v>1</v>
      </c>
      <c r="Y249">
        <v>1</v>
      </c>
      <c r="Z249">
        <v>0.73</v>
      </c>
      <c r="AA249">
        <v>0.93</v>
      </c>
      <c r="AB249">
        <v>3</v>
      </c>
      <c r="AC249">
        <v>0.93</v>
      </c>
      <c r="AD249">
        <v>0.93</v>
      </c>
      <c r="AE249">
        <v>1.1000000000000001</v>
      </c>
      <c r="AF249">
        <v>0.5</v>
      </c>
      <c r="AG249" t="str">
        <f t="shared" si="248"/>
        <v>205</v>
      </c>
      <c r="AH249" t="str">
        <f t="shared" si="249"/>
        <v>（株）ムロコーポレーション</v>
      </c>
      <c r="AI249" t="str">
        <f>"036"</f>
        <v>036</v>
      </c>
      <c r="AJ249" t="str">
        <f>""</f>
        <v/>
      </c>
      <c r="AK249" t="str">
        <f>""</f>
        <v/>
      </c>
      <c r="AL249" t="str">
        <f t="shared" si="271"/>
        <v>0370</v>
      </c>
      <c r="AM249" t="str">
        <f t="shared" si="272"/>
        <v>ｼﾑ</v>
      </c>
      <c r="AN249" t="str">
        <f t="shared" si="250"/>
        <v>012</v>
      </c>
      <c r="AO249" t="str">
        <f t="shared" si="251"/>
        <v>TP-131 ﾊﾝﾖｳ</v>
      </c>
      <c r="AP249">
        <v>100</v>
      </c>
      <c r="AQ249" t="str">
        <f>""</f>
        <v/>
      </c>
      <c r="AR249" t="str">
        <f>""</f>
        <v/>
      </c>
      <c r="AS249" t="str">
        <f>""</f>
        <v/>
      </c>
      <c r="AT249" t="str">
        <f t="shared" si="252"/>
        <v>00</v>
      </c>
      <c r="AU249">
        <v>0.5</v>
      </c>
      <c r="AV249" t="str">
        <f>""</f>
        <v/>
      </c>
      <c r="AW249" t="str">
        <f t="shared" si="273"/>
        <v>06</v>
      </c>
      <c r="AX249" t="str">
        <f t="shared" si="274"/>
        <v>計画</v>
      </c>
      <c r="AY249" t="str">
        <f t="shared" si="275"/>
        <v>02</v>
      </c>
      <c r="AZ249" t="str">
        <f t="shared" si="276"/>
        <v>計画・２社</v>
      </c>
      <c r="BA249" t="str">
        <f>""</f>
        <v/>
      </c>
      <c r="BB249" t="str">
        <f t="shared" si="253"/>
        <v>ＴＰ１３１フタナシ</v>
      </c>
      <c r="BC249" t="str">
        <f t="shared" si="254"/>
        <v xml:space="preserve"> 335.000</v>
      </c>
      <c r="BD249" t="str">
        <f t="shared" si="255"/>
        <v xml:space="preserve"> 168.000</v>
      </c>
      <c r="BE249" t="str">
        <f t="shared" si="256"/>
        <v xml:space="preserve"> 103.000</v>
      </c>
      <c r="BF249" t="str">
        <f t="shared" si="257"/>
        <v xml:space="preserve">   0.006</v>
      </c>
      <c r="BG249" t="str">
        <f t="shared" si="280"/>
        <v xml:space="preserve">   1.410</v>
      </c>
      <c r="BH249" t="str">
        <f t="shared" si="283"/>
        <v>しない</v>
      </c>
      <c r="BI249" t="str">
        <f>""</f>
        <v/>
      </c>
      <c r="BJ249" t="str">
        <f t="shared" si="282"/>
        <v>MASTER01</v>
      </c>
      <c r="BK249" t="str">
        <f t="shared" si="281"/>
        <v>2023/01/17</v>
      </c>
      <c r="BL249" t="str">
        <f t="shared" si="268"/>
        <v>NE00</v>
      </c>
      <c r="BM249" t="str">
        <f t="shared" si="269"/>
        <v>１工工務Ｇ</v>
      </c>
      <c r="BN249" t="str">
        <f t="shared" si="278"/>
        <v>46548</v>
      </c>
      <c r="BO249" t="str">
        <f t="shared" si="279"/>
        <v>長畑　玲奈</v>
      </c>
    </row>
    <row r="250" spans="1:67">
      <c r="A250" t="s">
        <v>332</v>
      </c>
      <c r="B250" t="str">
        <f>""</f>
        <v/>
      </c>
      <c r="C250" t="str">
        <f>""</f>
        <v/>
      </c>
      <c r="D250" t="str">
        <f t="shared" si="270"/>
        <v>SHIM</v>
      </c>
      <c r="E250" t="str">
        <f t="shared" si="258"/>
        <v>1Y</v>
      </c>
      <c r="F250" t="str">
        <f t="shared" si="259"/>
        <v>第１工場</v>
      </c>
      <c r="G250" t="str">
        <f t="shared" si="260"/>
        <v>手配</v>
      </c>
      <c r="H250" t="str">
        <f t="shared" si="261"/>
        <v>Ｐ</v>
      </c>
      <c r="I250" t="str">
        <f t="shared" si="246"/>
        <v>6454</v>
      </c>
      <c r="J250" t="str">
        <f t="shared" si="247"/>
        <v>（株）ムロコーポレーション</v>
      </c>
      <c r="K250" t="str">
        <f t="shared" si="245"/>
        <v>01</v>
      </c>
      <c r="L250" t="str">
        <f>""</f>
        <v/>
      </c>
      <c r="M250" t="str">
        <f t="shared" si="284"/>
        <v>――</v>
      </c>
      <c r="N250" t="str">
        <f t="shared" si="284"/>
        <v>――</v>
      </c>
      <c r="O250" t="str">
        <f t="shared" si="262"/>
        <v>Ｍ</v>
      </c>
      <c r="P250" t="str">
        <f t="shared" si="263"/>
        <v>01</v>
      </c>
      <c r="Q250" t="str">
        <f t="shared" si="264"/>
        <v>第１</v>
      </c>
      <c r="R250" t="str">
        <f t="shared" si="265"/>
        <v>1Y</v>
      </c>
      <c r="S250" t="str">
        <f t="shared" si="266"/>
        <v>安城第１工場</v>
      </c>
      <c r="T250" t="str">
        <f t="shared" si="267"/>
        <v>直接</v>
      </c>
      <c r="U250" t="str">
        <f>""</f>
        <v/>
      </c>
      <c r="V250" t="str">
        <f>""</f>
        <v/>
      </c>
      <c r="W250" t="str">
        <f>""</f>
        <v/>
      </c>
      <c r="X250">
        <v>1</v>
      </c>
      <c r="Y250">
        <v>1</v>
      </c>
      <c r="Z250">
        <v>0.73</v>
      </c>
      <c r="AA250">
        <v>0.93</v>
      </c>
      <c r="AB250">
        <v>3</v>
      </c>
      <c r="AC250">
        <v>0.93</v>
      </c>
      <c r="AD250">
        <v>0.93</v>
      </c>
      <c r="AE250">
        <v>1.1000000000000001</v>
      </c>
      <c r="AF250">
        <v>0.5</v>
      </c>
      <c r="AG250" t="str">
        <f t="shared" si="248"/>
        <v>205</v>
      </c>
      <c r="AH250" t="str">
        <f t="shared" si="249"/>
        <v>（株）ムロコーポレーション</v>
      </c>
      <c r="AI250" t="str">
        <f>"037"</f>
        <v>037</v>
      </c>
      <c r="AJ250" t="str">
        <f>""</f>
        <v/>
      </c>
      <c r="AK250" t="str">
        <f>""</f>
        <v/>
      </c>
      <c r="AL250" t="str">
        <f t="shared" si="271"/>
        <v>0370</v>
      </c>
      <c r="AM250" t="str">
        <f t="shared" si="272"/>
        <v>ｼﾑ</v>
      </c>
      <c r="AN250" t="str">
        <f t="shared" si="250"/>
        <v>012</v>
      </c>
      <c r="AO250" t="str">
        <f t="shared" si="251"/>
        <v>TP-131 ﾊﾝﾖｳ</v>
      </c>
      <c r="AP250">
        <v>100</v>
      </c>
      <c r="AQ250" t="str">
        <f>""</f>
        <v/>
      </c>
      <c r="AR250" t="str">
        <f>""</f>
        <v/>
      </c>
      <c r="AS250" t="str">
        <f>""</f>
        <v/>
      </c>
      <c r="AT250" t="str">
        <f t="shared" si="252"/>
        <v>00</v>
      </c>
      <c r="AU250">
        <v>0.5</v>
      </c>
      <c r="AV250" t="str">
        <f>""</f>
        <v/>
      </c>
      <c r="AW250" t="str">
        <f t="shared" si="273"/>
        <v>06</v>
      </c>
      <c r="AX250" t="str">
        <f t="shared" si="274"/>
        <v>計画</v>
      </c>
      <c r="AY250" t="str">
        <f t="shared" si="275"/>
        <v>02</v>
      </c>
      <c r="AZ250" t="str">
        <f t="shared" si="276"/>
        <v>計画・２社</v>
      </c>
      <c r="BA250" t="str">
        <f>""</f>
        <v/>
      </c>
      <c r="BB250" t="str">
        <f t="shared" si="253"/>
        <v>ＴＰ１３１フタナシ</v>
      </c>
      <c r="BC250" t="str">
        <f t="shared" si="254"/>
        <v xml:space="preserve"> 335.000</v>
      </c>
      <c r="BD250" t="str">
        <f t="shared" si="255"/>
        <v xml:space="preserve"> 168.000</v>
      </c>
      <c r="BE250" t="str">
        <f t="shared" si="256"/>
        <v xml:space="preserve"> 103.000</v>
      </c>
      <c r="BF250" t="str">
        <f t="shared" si="257"/>
        <v xml:space="preserve">   0.006</v>
      </c>
      <c r="BG250" t="str">
        <f t="shared" si="280"/>
        <v xml:space="preserve">   1.410</v>
      </c>
      <c r="BH250" t="str">
        <f t="shared" si="283"/>
        <v>しない</v>
      </c>
      <c r="BI250" t="str">
        <f>""</f>
        <v/>
      </c>
      <c r="BJ250" t="str">
        <f t="shared" si="282"/>
        <v>MASTER01</v>
      </c>
      <c r="BK250" t="str">
        <f t="shared" si="281"/>
        <v>2023/01/17</v>
      </c>
      <c r="BL250" t="str">
        <f t="shared" si="268"/>
        <v>NE00</v>
      </c>
      <c r="BM250" t="str">
        <f t="shared" si="269"/>
        <v>１工工務Ｇ</v>
      </c>
      <c r="BN250" t="str">
        <f t="shared" si="278"/>
        <v>46548</v>
      </c>
      <c r="BO250" t="str">
        <f t="shared" si="279"/>
        <v>長畑　玲奈</v>
      </c>
    </row>
    <row r="251" spans="1:67">
      <c r="A251" t="s">
        <v>333</v>
      </c>
      <c r="B251" t="str">
        <f>""</f>
        <v/>
      </c>
      <c r="C251" t="str">
        <f>""</f>
        <v/>
      </c>
      <c r="D251" t="str">
        <f t="shared" si="270"/>
        <v>SHIM</v>
      </c>
      <c r="E251" t="str">
        <f t="shared" si="258"/>
        <v>1Y</v>
      </c>
      <c r="F251" t="str">
        <f t="shared" si="259"/>
        <v>第１工場</v>
      </c>
      <c r="G251" t="str">
        <f t="shared" si="260"/>
        <v>手配</v>
      </c>
      <c r="H251" t="str">
        <f t="shared" si="261"/>
        <v>Ｐ</v>
      </c>
      <c r="I251" t="str">
        <f t="shared" si="246"/>
        <v>6454</v>
      </c>
      <c r="J251" t="str">
        <f t="shared" si="247"/>
        <v>（株）ムロコーポレーション</v>
      </c>
      <c r="K251" t="str">
        <f t="shared" si="245"/>
        <v>01</v>
      </c>
      <c r="L251" t="str">
        <f>""</f>
        <v/>
      </c>
      <c r="M251" t="str">
        <f t="shared" si="284"/>
        <v>――</v>
      </c>
      <c r="N251" t="str">
        <f t="shared" si="284"/>
        <v>――</v>
      </c>
      <c r="O251" t="str">
        <f t="shared" si="262"/>
        <v>Ｍ</v>
      </c>
      <c r="P251" t="str">
        <f t="shared" si="263"/>
        <v>01</v>
      </c>
      <c r="Q251" t="str">
        <f t="shared" si="264"/>
        <v>第１</v>
      </c>
      <c r="R251" t="str">
        <f t="shared" si="265"/>
        <v>1Y</v>
      </c>
      <c r="S251" t="str">
        <f t="shared" si="266"/>
        <v>安城第１工場</v>
      </c>
      <c r="T251" t="str">
        <f t="shared" si="267"/>
        <v>直接</v>
      </c>
      <c r="U251" t="str">
        <f>""</f>
        <v/>
      </c>
      <c r="V251" t="str">
        <f>""</f>
        <v/>
      </c>
      <c r="W251" t="str">
        <f>""</f>
        <v/>
      </c>
      <c r="X251">
        <v>1</v>
      </c>
      <c r="Y251">
        <v>1</v>
      </c>
      <c r="Z251">
        <v>0.73</v>
      </c>
      <c r="AA251">
        <v>0.93</v>
      </c>
      <c r="AB251">
        <v>3</v>
      </c>
      <c r="AC251">
        <v>0.93</v>
      </c>
      <c r="AD251">
        <v>0.93</v>
      </c>
      <c r="AE251">
        <v>1.1000000000000001</v>
      </c>
      <c r="AF251">
        <v>0.5</v>
      </c>
      <c r="AG251" t="str">
        <f t="shared" si="248"/>
        <v>205</v>
      </c>
      <c r="AH251" t="str">
        <f t="shared" si="249"/>
        <v>（株）ムロコーポレーション</v>
      </c>
      <c r="AI251" t="str">
        <f>"038"</f>
        <v>038</v>
      </c>
      <c r="AJ251" t="str">
        <f>""</f>
        <v/>
      </c>
      <c r="AK251" t="str">
        <f>""</f>
        <v/>
      </c>
      <c r="AL251" t="str">
        <f t="shared" si="271"/>
        <v>0370</v>
      </c>
      <c r="AM251" t="str">
        <f t="shared" si="272"/>
        <v>ｼﾑ</v>
      </c>
      <c r="AN251" t="str">
        <f t="shared" si="250"/>
        <v>012</v>
      </c>
      <c r="AO251" t="str">
        <f t="shared" si="251"/>
        <v>TP-131 ﾊﾝﾖｳ</v>
      </c>
      <c r="AP251">
        <v>100</v>
      </c>
      <c r="AQ251" t="str">
        <f>""</f>
        <v/>
      </c>
      <c r="AR251" t="str">
        <f>""</f>
        <v/>
      </c>
      <c r="AS251" t="str">
        <f>""</f>
        <v/>
      </c>
      <c r="AT251" t="str">
        <f t="shared" si="252"/>
        <v>00</v>
      </c>
      <c r="AU251">
        <v>0.5</v>
      </c>
      <c r="AV251" t="str">
        <f>""</f>
        <v/>
      </c>
      <c r="AW251" t="str">
        <f t="shared" si="273"/>
        <v>06</v>
      </c>
      <c r="AX251" t="str">
        <f t="shared" si="274"/>
        <v>計画</v>
      </c>
      <c r="AY251" t="str">
        <f t="shared" si="275"/>
        <v>02</v>
      </c>
      <c r="AZ251" t="str">
        <f t="shared" si="276"/>
        <v>計画・２社</v>
      </c>
      <c r="BA251" t="str">
        <f>""</f>
        <v/>
      </c>
      <c r="BB251" t="str">
        <f t="shared" si="253"/>
        <v>ＴＰ１３１フタナシ</v>
      </c>
      <c r="BC251" t="str">
        <f t="shared" si="254"/>
        <v xml:space="preserve"> 335.000</v>
      </c>
      <c r="BD251" t="str">
        <f t="shared" si="255"/>
        <v xml:space="preserve"> 168.000</v>
      </c>
      <c r="BE251" t="str">
        <f t="shared" si="256"/>
        <v xml:space="preserve"> 103.000</v>
      </c>
      <c r="BF251" t="str">
        <f t="shared" si="257"/>
        <v xml:space="preserve">   0.006</v>
      </c>
      <c r="BG251" t="str">
        <f t="shared" si="280"/>
        <v xml:space="preserve">   1.410</v>
      </c>
      <c r="BH251" t="str">
        <f t="shared" si="283"/>
        <v>しない</v>
      </c>
      <c r="BI251" t="str">
        <f>""</f>
        <v/>
      </c>
      <c r="BJ251" t="str">
        <f t="shared" si="282"/>
        <v>MASTER01</v>
      </c>
      <c r="BK251" t="str">
        <f t="shared" si="281"/>
        <v>2023/01/17</v>
      </c>
      <c r="BL251" t="str">
        <f t="shared" si="268"/>
        <v>NE00</v>
      </c>
      <c r="BM251" t="str">
        <f t="shared" si="269"/>
        <v>１工工務Ｇ</v>
      </c>
      <c r="BN251" t="str">
        <f t="shared" si="278"/>
        <v>46548</v>
      </c>
      <c r="BO251" t="str">
        <f t="shared" si="279"/>
        <v>長畑　玲奈</v>
      </c>
    </row>
    <row r="252" spans="1:67">
      <c r="A252" t="s">
        <v>334</v>
      </c>
      <c r="B252" t="str">
        <f>""</f>
        <v/>
      </c>
      <c r="C252" t="str">
        <f>""</f>
        <v/>
      </c>
      <c r="D252" t="str">
        <f t="shared" si="270"/>
        <v>SHIM</v>
      </c>
      <c r="E252" t="str">
        <f t="shared" si="258"/>
        <v>1Y</v>
      </c>
      <c r="F252" t="str">
        <f t="shared" si="259"/>
        <v>第１工場</v>
      </c>
      <c r="G252" t="str">
        <f t="shared" si="260"/>
        <v>手配</v>
      </c>
      <c r="H252" t="str">
        <f t="shared" si="261"/>
        <v>Ｐ</v>
      </c>
      <c r="I252" t="str">
        <f t="shared" si="246"/>
        <v>6454</v>
      </c>
      <c r="J252" t="str">
        <f t="shared" si="247"/>
        <v>（株）ムロコーポレーション</v>
      </c>
      <c r="K252" t="str">
        <f t="shared" ref="K252:K315" si="285">"01"</f>
        <v>01</v>
      </c>
      <c r="L252" t="str">
        <f>""</f>
        <v/>
      </c>
      <c r="M252" t="str">
        <f t="shared" si="284"/>
        <v>――</v>
      </c>
      <c r="N252" t="str">
        <f t="shared" si="284"/>
        <v>――</v>
      </c>
      <c r="O252" t="str">
        <f t="shared" si="262"/>
        <v>Ｍ</v>
      </c>
      <c r="P252" t="str">
        <f t="shared" si="263"/>
        <v>01</v>
      </c>
      <c r="Q252" t="str">
        <f t="shared" si="264"/>
        <v>第１</v>
      </c>
      <c r="R252" t="str">
        <f t="shared" si="265"/>
        <v>1Y</v>
      </c>
      <c r="S252" t="str">
        <f t="shared" si="266"/>
        <v>安城第１工場</v>
      </c>
      <c r="T252" t="str">
        <f t="shared" si="267"/>
        <v>直接</v>
      </c>
      <c r="U252" t="str">
        <f>""</f>
        <v/>
      </c>
      <c r="V252" t="str">
        <f>""</f>
        <v/>
      </c>
      <c r="W252" t="str">
        <f>""</f>
        <v/>
      </c>
      <c r="X252">
        <v>1</v>
      </c>
      <c r="Y252">
        <v>1</v>
      </c>
      <c r="Z252">
        <v>0.73</v>
      </c>
      <c r="AA252">
        <v>0.93</v>
      </c>
      <c r="AB252">
        <v>3</v>
      </c>
      <c r="AC252">
        <v>0.93</v>
      </c>
      <c r="AD252">
        <v>0.93</v>
      </c>
      <c r="AE252">
        <v>1.1000000000000001</v>
      </c>
      <c r="AF252">
        <v>0.5</v>
      </c>
      <c r="AG252" t="str">
        <f t="shared" si="248"/>
        <v>205</v>
      </c>
      <c r="AH252" t="str">
        <f t="shared" si="249"/>
        <v>（株）ムロコーポレーション</v>
      </c>
      <c r="AI252" t="str">
        <f>"039"</f>
        <v>039</v>
      </c>
      <c r="AJ252" t="str">
        <f>""</f>
        <v/>
      </c>
      <c r="AK252" t="str">
        <f>""</f>
        <v/>
      </c>
      <c r="AL252" t="str">
        <f t="shared" si="271"/>
        <v>0370</v>
      </c>
      <c r="AM252" t="str">
        <f t="shared" si="272"/>
        <v>ｼﾑ</v>
      </c>
      <c r="AN252" t="str">
        <f t="shared" si="250"/>
        <v>012</v>
      </c>
      <c r="AO252" t="str">
        <f t="shared" si="251"/>
        <v>TP-131 ﾊﾝﾖｳ</v>
      </c>
      <c r="AP252">
        <v>100</v>
      </c>
      <c r="AQ252" t="str">
        <f>""</f>
        <v/>
      </c>
      <c r="AR252" t="str">
        <f>""</f>
        <v/>
      </c>
      <c r="AS252" t="str">
        <f>""</f>
        <v/>
      </c>
      <c r="AT252" t="str">
        <f t="shared" si="252"/>
        <v>00</v>
      </c>
      <c r="AU252">
        <v>0.5</v>
      </c>
      <c r="AV252" t="str">
        <f>""</f>
        <v/>
      </c>
      <c r="AW252" t="str">
        <f t="shared" si="273"/>
        <v>06</v>
      </c>
      <c r="AX252" t="str">
        <f t="shared" si="274"/>
        <v>計画</v>
      </c>
      <c r="AY252" t="str">
        <f t="shared" si="275"/>
        <v>02</v>
      </c>
      <c r="AZ252" t="str">
        <f t="shared" si="276"/>
        <v>計画・２社</v>
      </c>
      <c r="BA252" t="str">
        <f>""</f>
        <v/>
      </c>
      <c r="BB252" t="str">
        <f t="shared" si="253"/>
        <v>ＴＰ１３１フタナシ</v>
      </c>
      <c r="BC252" t="str">
        <f t="shared" si="254"/>
        <v xml:space="preserve"> 335.000</v>
      </c>
      <c r="BD252" t="str">
        <f t="shared" si="255"/>
        <v xml:space="preserve"> 168.000</v>
      </c>
      <c r="BE252" t="str">
        <f t="shared" si="256"/>
        <v xml:space="preserve"> 103.000</v>
      </c>
      <c r="BF252" t="str">
        <f t="shared" si="257"/>
        <v xml:space="preserve">   0.006</v>
      </c>
      <c r="BG252" t="str">
        <f t="shared" si="280"/>
        <v xml:space="preserve">   1.410</v>
      </c>
      <c r="BH252" t="str">
        <f t="shared" si="283"/>
        <v>しない</v>
      </c>
      <c r="BI252" t="str">
        <f>""</f>
        <v/>
      </c>
      <c r="BJ252" t="str">
        <f t="shared" si="282"/>
        <v>MASTER01</v>
      </c>
      <c r="BK252" t="str">
        <f t="shared" si="281"/>
        <v>2023/01/17</v>
      </c>
      <c r="BL252" t="str">
        <f t="shared" si="268"/>
        <v>NE00</v>
      </c>
      <c r="BM252" t="str">
        <f t="shared" si="269"/>
        <v>１工工務Ｇ</v>
      </c>
      <c r="BN252" t="str">
        <f t="shared" si="278"/>
        <v>46548</v>
      </c>
      <c r="BO252" t="str">
        <f t="shared" si="279"/>
        <v>長畑　玲奈</v>
      </c>
    </row>
    <row r="253" spans="1:67">
      <c r="A253" t="s">
        <v>335</v>
      </c>
      <c r="B253" t="str">
        <f>""</f>
        <v/>
      </c>
      <c r="C253" t="str">
        <f>""</f>
        <v/>
      </c>
      <c r="D253" t="str">
        <f t="shared" si="270"/>
        <v>SHIM</v>
      </c>
      <c r="E253" t="str">
        <f t="shared" si="258"/>
        <v>1Y</v>
      </c>
      <c r="F253" t="str">
        <f t="shared" si="259"/>
        <v>第１工場</v>
      </c>
      <c r="G253" t="str">
        <f t="shared" si="260"/>
        <v>手配</v>
      </c>
      <c r="H253" t="str">
        <f t="shared" si="261"/>
        <v>Ｐ</v>
      </c>
      <c r="I253" t="str">
        <f t="shared" si="246"/>
        <v>6454</v>
      </c>
      <c r="J253" t="str">
        <f t="shared" si="247"/>
        <v>（株）ムロコーポレーション</v>
      </c>
      <c r="K253" t="str">
        <f t="shared" si="285"/>
        <v>01</v>
      </c>
      <c r="L253" t="str">
        <f>""</f>
        <v/>
      </c>
      <c r="M253" t="str">
        <f t="shared" si="284"/>
        <v>――</v>
      </c>
      <c r="N253" t="str">
        <f t="shared" si="284"/>
        <v>――</v>
      </c>
      <c r="O253" t="str">
        <f t="shared" si="262"/>
        <v>Ｍ</v>
      </c>
      <c r="P253" t="str">
        <f t="shared" si="263"/>
        <v>01</v>
      </c>
      <c r="Q253" t="str">
        <f t="shared" si="264"/>
        <v>第１</v>
      </c>
      <c r="R253" t="str">
        <f t="shared" si="265"/>
        <v>1Y</v>
      </c>
      <c r="S253" t="str">
        <f t="shared" si="266"/>
        <v>安城第１工場</v>
      </c>
      <c r="T253" t="str">
        <f t="shared" si="267"/>
        <v>直接</v>
      </c>
      <c r="U253" t="str">
        <f>""</f>
        <v/>
      </c>
      <c r="V253" t="str">
        <f>""</f>
        <v/>
      </c>
      <c r="W253" t="str">
        <f>""</f>
        <v/>
      </c>
      <c r="X253">
        <v>1</v>
      </c>
      <c r="Y253">
        <v>1</v>
      </c>
      <c r="Z253">
        <v>0.73</v>
      </c>
      <c r="AA253">
        <v>0.93</v>
      </c>
      <c r="AB253">
        <v>3</v>
      </c>
      <c r="AC253">
        <v>0.93</v>
      </c>
      <c r="AD253">
        <v>0.93</v>
      </c>
      <c r="AE253">
        <v>1.1000000000000001</v>
      </c>
      <c r="AF253">
        <v>0.5</v>
      </c>
      <c r="AG253" t="str">
        <f t="shared" si="248"/>
        <v>205</v>
      </c>
      <c r="AH253" t="str">
        <f t="shared" si="249"/>
        <v>（株）ムロコーポレーション</v>
      </c>
      <c r="AI253" t="str">
        <f>"040"</f>
        <v>040</v>
      </c>
      <c r="AJ253" t="str">
        <f>""</f>
        <v/>
      </c>
      <c r="AK253" t="str">
        <f>""</f>
        <v/>
      </c>
      <c r="AL253" t="str">
        <f t="shared" si="271"/>
        <v>0370</v>
      </c>
      <c r="AM253" t="str">
        <f t="shared" si="272"/>
        <v>ｼﾑ</v>
      </c>
      <c r="AN253" t="str">
        <f t="shared" si="250"/>
        <v>012</v>
      </c>
      <c r="AO253" t="str">
        <f t="shared" si="251"/>
        <v>TP-131 ﾊﾝﾖｳ</v>
      </c>
      <c r="AP253">
        <v>100</v>
      </c>
      <c r="AQ253" t="str">
        <f>""</f>
        <v/>
      </c>
      <c r="AR253" t="str">
        <f>""</f>
        <v/>
      </c>
      <c r="AS253" t="str">
        <f>""</f>
        <v/>
      </c>
      <c r="AT253" t="str">
        <f t="shared" si="252"/>
        <v>00</v>
      </c>
      <c r="AU253">
        <v>0.5</v>
      </c>
      <c r="AV253" t="str">
        <f>""</f>
        <v/>
      </c>
      <c r="AW253" t="str">
        <f t="shared" si="273"/>
        <v>06</v>
      </c>
      <c r="AX253" t="str">
        <f t="shared" si="274"/>
        <v>計画</v>
      </c>
      <c r="AY253" t="str">
        <f t="shared" si="275"/>
        <v>02</v>
      </c>
      <c r="AZ253" t="str">
        <f t="shared" si="276"/>
        <v>計画・２社</v>
      </c>
      <c r="BA253" t="str">
        <f>""</f>
        <v/>
      </c>
      <c r="BB253" t="str">
        <f t="shared" si="253"/>
        <v>ＴＰ１３１フタナシ</v>
      </c>
      <c r="BC253" t="str">
        <f t="shared" si="254"/>
        <v xml:space="preserve"> 335.000</v>
      </c>
      <c r="BD253" t="str">
        <f t="shared" si="255"/>
        <v xml:space="preserve"> 168.000</v>
      </c>
      <c r="BE253" t="str">
        <f t="shared" si="256"/>
        <v xml:space="preserve"> 103.000</v>
      </c>
      <c r="BF253" t="str">
        <f t="shared" si="257"/>
        <v xml:space="preserve">   0.006</v>
      </c>
      <c r="BG253" t="str">
        <f t="shared" si="280"/>
        <v xml:space="preserve">   1.410</v>
      </c>
      <c r="BH253" t="str">
        <f t="shared" si="283"/>
        <v>しない</v>
      </c>
      <c r="BI253" t="str">
        <f>""</f>
        <v/>
      </c>
      <c r="BJ253" t="str">
        <f t="shared" si="282"/>
        <v>MASTER01</v>
      </c>
      <c r="BK253" t="str">
        <f t="shared" si="281"/>
        <v>2023/01/17</v>
      </c>
      <c r="BL253" t="str">
        <f t="shared" si="268"/>
        <v>NE00</v>
      </c>
      <c r="BM253" t="str">
        <f t="shared" si="269"/>
        <v>１工工務Ｇ</v>
      </c>
      <c r="BN253" t="str">
        <f t="shared" si="278"/>
        <v>46548</v>
      </c>
      <c r="BO253" t="str">
        <f t="shared" si="279"/>
        <v>長畑　玲奈</v>
      </c>
    </row>
    <row r="254" spans="1:67">
      <c r="A254" t="s">
        <v>336</v>
      </c>
      <c r="B254" t="str">
        <f>""</f>
        <v/>
      </c>
      <c r="C254" t="str">
        <f>""</f>
        <v/>
      </c>
      <c r="D254" t="str">
        <f t="shared" si="270"/>
        <v>SHIM</v>
      </c>
      <c r="E254" t="str">
        <f t="shared" si="258"/>
        <v>1Y</v>
      </c>
      <c r="F254" t="str">
        <f t="shared" si="259"/>
        <v>第１工場</v>
      </c>
      <c r="G254" t="str">
        <f t="shared" si="260"/>
        <v>手配</v>
      </c>
      <c r="H254" t="str">
        <f t="shared" si="261"/>
        <v>Ｐ</v>
      </c>
      <c r="I254" t="str">
        <f t="shared" si="246"/>
        <v>6454</v>
      </c>
      <c r="J254" t="str">
        <f t="shared" si="247"/>
        <v>（株）ムロコーポレーション</v>
      </c>
      <c r="K254" t="str">
        <f t="shared" si="285"/>
        <v>01</v>
      </c>
      <c r="L254" t="str">
        <f>""</f>
        <v/>
      </c>
      <c r="M254" t="str">
        <f t="shared" si="284"/>
        <v>――</v>
      </c>
      <c r="N254" t="str">
        <f t="shared" si="284"/>
        <v>――</v>
      </c>
      <c r="O254" t="str">
        <f t="shared" si="262"/>
        <v>Ｍ</v>
      </c>
      <c r="P254" t="str">
        <f t="shared" si="263"/>
        <v>01</v>
      </c>
      <c r="Q254" t="str">
        <f t="shared" si="264"/>
        <v>第１</v>
      </c>
      <c r="R254" t="str">
        <f t="shared" si="265"/>
        <v>1Y</v>
      </c>
      <c r="S254" t="str">
        <f t="shared" si="266"/>
        <v>安城第１工場</v>
      </c>
      <c r="T254" t="str">
        <f t="shared" si="267"/>
        <v>直接</v>
      </c>
      <c r="U254" t="str">
        <f>""</f>
        <v/>
      </c>
      <c r="V254" t="str">
        <f>""</f>
        <v/>
      </c>
      <c r="W254" t="str">
        <f>""</f>
        <v/>
      </c>
      <c r="X254">
        <v>1</v>
      </c>
      <c r="Y254">
        <v>1</v>
      </c>
      <c r="Z254">
        <v>0.73</v>
      </c>
      <c r="AA254">
        <v>0.93</v>
      </c>
      <c r="AB254">
        <v>3</v>
      </c>
      <c r="AC254">
        <v>0.93</v>
      </c>
      <c r="AD254">
        <v>0.93</v>
      </c>
      <c r="AE254">
        <v>1.1000000000000001</v>
      </c>
      <c r="AF254">
        <v>0.5</v>
      </c>
      <c r="AG254" t="str">
        <f t="shared" si="248"/>
        <v>205</v>
      </c>
      <c r="AH254" t="str">
        <f t="shared" si="249"/>
        <v>（株）ムロコーポレーション</v>
      </c>
      <c r="AI254" t="str">
        <f>"041"</f>
        <v>041</v>
      </c>
      <c r="AJ254" t="str">
        <f>""</f>
        <v/>
      </c>
      <c r="AK254" t="str">
        <f>""</f>
        <v/>
      </c>
      <c r="AL254" t="str">
        <f t="shared" si="271"/>
        <v>0370</v>
      </c>
      <c r="AM254" t="str">
        <f t="shared" si="272"/>
        <v>ｼﾑ</v>
      </c>
      <c r="AN254" t="str">
        <f t="shared" si="250"/>
        <v>012</v>
      </c>
      <c r="AO254" t="str">
        <f t="shared" si="251"/>
        <v>TP-131 ﾊﾝﾖｳ</v>
      </c>
      <c r="AP254">
        <v>100</v>
      </c>
      <c r="AQ254" t="str">
        <f>""</f>
        <v/>
      </c>
      <c r="AR254" t="str">
        <f>""</f>
        <v/>
      </c>
      <c r="AS254" t="str">
        <f>""</f>
        <v/>
      </c>
      <c r="AT254" t="str">
        <f t="shared" si="252"/>
        <v>00</v>
      </c>
      <c r="AU254">
        <v>0.5</v>
      </c>
      <c r="AV254" t="str">
        <f>""</f>
        <v/>
      </c>
      <c r="AW254" t="str">
        <f t="shared" si="273"/>
        <v>06</v>
      </c>
      <c r="AX254" t="str">
        <f t="shared" si="274"/>
        <v>計画</v>
      </c>
      <c r="AY254" t="str">
        <f t="shared" si="275"/>
        <v>02</v>
      </c>
      <c r="AZ254" t="str">
        <f t="shared" si="276"/>
        <v>計画・２社</v>
      </c>
      <c r="BA254" t="str">
        <f>""</f>
        <v/>
      </c>
      <c r="BB254" t="str">
        <f t="shared" si="253"/>
        <v>ＴＰ１３１フタナシ</v>
      </c>
      <c r="BC254" t="str">
        <f t="shared" si="254"/>
        <v xml:space="preserve"> 335.000</v>
      </c>
      <c r="BD254" t="str">
        <f t="shared" si="255"/>
        <v xml:space="preserve"> 168.000</v>
      </c>
      <c r="BE254" t="str">
        <f t="shared" si="256"/>
        <v xml:space="preserve"> 103.000</v>
      </c>
      <c r="BF254" t="str">
        <f t="shared" si="257"/>
        <v xml:space="preserve">   0.006</v>
      </c>
      <c r="BG254" t="str">
        <f t="shared" si="280"/>
        <v xml:space="preserve">   1.410</v>
      </c>
      <c r="BH254" t="str">
        <f t="shared" si="283"/>
        <v>しない</v>
      </c>
      <c r="BI254" t="str">
        <f>""</f>
        <v/>
      </c>
      <c r="BJ254" t="str">
        <f t="shared" si="282"/>
        <v>MASTER01</v>
      </c>
      <c r="BK254" t="str">
        <f t="shared" si="281"/>
        <v>2023/01/17</v>
      </c>
      <c r="BL254" t="str">
        <f t="shared" si="268"/>
        <v>NE00</v>
      </c>
      <c r="BM254" t="str">
        <f t="shared" si="269"/>
        <v>１工工務Ｇ</v>
      </c>
      <c r="BN254" t="str">
        <f t="shared" si="278"/>
        <v>46548</v>
      </c>
      <c r="BO254" t="str">
        <f t="shared" si="279"/>
        <v>長畑　玲奈</v>
      </c>
    </row>
    <row r="255" spans="1:67">
      <c r="A255" t="s">
        <v>337</v>
      </c>
      <c r="B255" t="str">
        <f>""</f>
        <v/>
      </c>
      <c r="C255" t="str">
        <f>""</f>
        <v/>
      </c>
      <c r="D255" t="str">
        <f t="shared" si="270"/>
        <v>SHIM</v>
      </c>
      <c r="E255" t="str">
        <f t="shared" si="258"/>
        <v>1Y</v>
      </c>
      <c r="F255" t="str">
        <f t="shared" si="259"/>
        <v>第１工場</v>
      </c>
      <c r="G255" t="str">
        <f t="shared" si="260"/>
        <v>手配</v>
      </c>
      <c r="H255" t="str">
        <f t="shared" si="261"/>
        <v>Ｐ</v>
      </c>
      <c r="I255" t="str">
        <f t="shared" si="246"/>
        <v>6454</v>
      </c>
      <c r="J255" t="str">
        <f t="shared" si="247"/>
        <v>（株）ムロコーポレーション</v>
      </c>
      <c r="K255" t="str">
        <f t="shared" si="285"/>
        <v>01</v>
      </c>
      <c r="L255" t="str">
        <f>""</f>
        <v/>
      </c>
      <c r="M255" t="str">
        <f t="shared" si="284"/>
        <v>――</v>
      </c>
      <c r="N255" t="str">
        <f t="shared" si="284"/>
        <v>――</v>
      </c>
      <c r="O255" t="str">
        <f t="shared" si="262"/>
        <v>Ｍ</v>
      </c>
      <c r="P255" t="str">
        <f t="shared" si="263"/>
        <v>01</v>
      </c>
      <c r="Q255" t="str">
        <f t="shared" si="264"/>
        <v>第１</v>
      </c>
      <c r="R255" t="str">
        <f t="shared" si="265"/>
        <v>1Y</v>
      </c>
      <c r="S255" t="str">
        <f t="shared" si="266"/>
        <v>安城第１工場</v>
      </c>
      <c r="T255" t="str">
        <f t="shared" si="267"/>
        <v>直接</v>
      </c>
      <c r="U255" t="str">
        <f>""</f>
        <v/>
      </c>
      <c r="V255" t="str">
        <f>""</f>
        <v/>
      </c>
      <c r="W255" t="str">
        <f>""</f>
        <v/>
      </c>
      <c r="X255">
        <v>1</v>
      </c>
      <c r="Y255">
        <v>1</v>
      </c>
      <c r="Z255">
        <v>0.73</v>
      </c>
      <c r="AA255">
        <v>0.93</v>
      </c>
      <c r="AB255">
        <v>3</v>
      </c>
      <c r="AC255">
        <v>0.93</v>
      </c>
      <c r="AD255">
        <v>0.93</v>
      </c>
      <c r="AE255">
        <v>1.1000000000000001</v>
      </c>
      <c r="AF255">
        <v>0.5</v>
      </c>
      <c r="AG255" t="str">
        <f t="shared" si="248"/>
        <v>205</v>
      </c>
      <c r="AH255" t="str">
        <f t="shared" si="249"/>
        <v>（株）ムロコーポレーション</v>
      </c>
      <c r="AI255" t="str">
        <f>"102"</f>
        <v>102</v>
      </c>
      <c r="AJ255" t="str">
        <f>"S-SM-1-52"</f>
        <v>S-SM-1-52</v>
      </c>
      <c r="AK255" t="str">
        <f>"10147"</f>
        <v>10147</v>
      </c>
      <c r="AL255" t="str">
        <f t="shared" si="271"/>
        <v>0370</v>
      </c>
      <c r="AM255" t="str">
        <f t="shared" si="272"/>
        <v>ｼﾑ</v>
      </c>
      <c r="AN255" t="str">
        <f t="shared" si="250"/>
        <v>012</v>
      </c>
      <c r="AO255" t="str">
        <f t="shared" si="251"/>
        <v>TP-131 ﾊﾝﾖｳ</v>
      </c>
      <c r="AP255">
        <v>100</v>
      </c>
      <c r="AQ255" t="str">
        <f>""</f>
        <v/>
      </c>
      <c r="AR255" t="str">
        <f>""</f>
        <v/>
      </c>
      <c r="AS255" t="str">
        <f>""</f>
        <v/>
      </c>
      <c r="AT255" t="str">
        <f t="shared" si="252"/>
        <v>00</v>
      </c>
      <c r="AU255">
        <v>0.5</v>
      </c>
      <c r="AV255" t="str">
        <f>""</f>
        <v/>
      </c>
      <c r="AW255" t="str">
        <f t="shared" si="273"/>
        <v>06</v>
      </c>
      <c r="AX255" t="str">
        <f t="shared" si="274"/>
        <v>計画</v>
      </c>
      <c r="AY255" t="str">
        <f t="shared" si="275"/>
        <v>02</v>
      </c>
      <c r="AZ255" t="str">
        <f t="shared" si="276"/>
        <v>計画・２社</v>
      </c>
      <c r="BA255" t="str">
        <f>""</f>
        <v/>
      </c>
      <c r="BB255" t="str">
        <f t="shared" si="253"/>
        <v>ＴＰ１３１フタナシ</v>
      </c>
      <c r="BC255" t="str">
        <f t="shared" si="254"/>
        <v xml:space="preserve"> 335.000</v>
      </c>
      <c r="BD255" t="str">
        <f t="shared" si="255"/>
        <v xml:space="preserve"> 168.000</v>
      </c>
      <c r="BE255" t="str">
        <f t="shared" si="256"/>
        <v xml:space="preserve"> 103.000</v>
      </c>
      <c r="BF255" t="str">
        <f t="shared" si="257"/>
        <v xml:space="preserve">   0.006</v>
      </c>
      <c r="BG255" t="str">
        <f>"   6.500"</f>
        <v xml:space="preserve">   6.500</v>
      </c>
      <c r="BH255" t="str">
        <f t="shared" si="283"/>
        <v>しない</v>
      </c>
      <c r="BI255" t="str">
        <f>""</f>
        <v/>
      </c>
      <c r="BJ255" t="str">
        <f t="shared" si="282"/>
        <v>MASTER01</v>
      </c>
      <c r="BK255" t="str">
        <f t="shared" ref="BK255:BK318" si="286">"2022/04/19"</f>
        <v>2022/04/19</v>
      </c>
      <c r="BL255" t="str">
        <f t="shared" si="268"/>
        <v>NE00</v>
      </c>
      <c r="BM255" t="str">
        <f t="shared" si="269"/>
        <v>１工工務Ｇ</v>
      </c>
      <c r="BN255" t="str">
        <f t="shared" si="278"/>
        <v>46548</v>
      </c>
      <c r="BO255" t="str">
        <f t="shared" si="279"/>
        <v>長畑　玲奈</v>
      </c>
    </row>
    <row r="256" spans="1:67">
      <c r="A256" t="s">
        <v>338</v>
      </c>
      <c r="B256" t="str">
        <f>""</f>
        <v/>
      </c>
      <c r="C256" t="str">
        <f>""</f>
        <v/>
      </c>
      <c r="D256" t="str">
        <f t="shared" si="270"/>
        <v>SHIM</v>
      </c>
      <c r="E256" t="str">
        <f t="shared" si="258"/>
        <v>1Y</v>
      </c>
      <c r="F256" t="str">
        <f t="shared" si="259"/>
        <v>第１工場</v>
      </c>
      <c r="G256" t="str">
        <f t="shared" si="260"/>
        <v>手配</v>
      </c>
      <c r="H256" t="str">
        <f t="shared" si="261"/>
        <v>Ｐ</v>
      </c>
      <c r="I256" t="str">
        <f t="shared" si="246"/>
        <v>6454</v>
      </c>
      <c r="J256" t="str">
        <f t="shared" si="247"/>
        <v>（株）ムロコーポレーション</v>
      </c>
      <c r="K256" t="str">
        <f t="shared" si="285"/>
        <v>01</v>
      </c>
      <c r="L256" t="str">
        <f>""</f>
        <v/>
      </c>
      <c r="M256" t="str">
        <f t="shared" si="284"/>
        <v>――</v>
      </c>
      <c r="N256" t="str">
        <f t="shared" si="284"/>
        <v>――</v>
      </c>
      <c r="O256" t="str">
        <f t="shared" si="262"/>
        <v>Ｍ</v>
      </c>
      <c r="P256" t="str">
        <f t="shared" si="263"/>
        <v>01</v>
      </c>
      <c r="Q256" t="str">
        <f t="shared" si="264"/>
        <v>第１</v>
      </c>
      <c r="R256" t="str">
        <f t="shared" si="265"/>
        <v>1Y</v>
      </c>
      <c r="S256" t="str">
        <f t="shared" si="266"/>
        <v>安城第１工場</v>
      </c>
      <c r="T256" t="str">
        <f t="shared" si="267"/>
        <v>直接</v>
      </c>
      <c r="U256" t="str">
        <f>""</f>
        <v/>
      </c>
      <c r="V256" t="str">
        <f>""</f>
        <v/>
      </c>
      <c r="W256" t="str">
        <f>""</f>
        <v/>
      </c>
      <c r="X256">
        <v>1</v>
      </c>
      <c r="Y256">
        <v>1</v>
      </c>
      <c r="Z256">
        <v>0.73</v>
      </c>
      <c r="AA256">
        <v>0.93</v>
      </c>
      <c r="AB256">
        <v>3</v>
      </c>
      <c r="AC256">
        <v>0.93</v>
      </c>
      <c r="AD256">
        <v>0.93</v>
      </c>
      <c r="AE256">
        <v>1.1000000000000001</v>
      </c>
      <c r="AF256">
        <v>0.5</v>
      </c>
      <c r="AG256" t="str">
        <f t="shared" si="248"/>
        <v>205</v>
      </c>
      <c r="AH256" t="str">
        <f t="shared" si="249"/>
        <v>（株）ムロコーポレーション</v>
      </c>
      <c r="AI256" t="str">
        <f>"103"</f>
        <v>103</v>
      </c>
      <c r="AJ256" t="str">
        <f>"S-SM-1-38"</f>
        <v>S-SM-1-38</v>
      </c>
      <c r="AK256" t="str">
        <f>"10148"</f>
        <v>10148</v>
      </c>
      <c r="AL256" t="str">
        <f t="shared" si="271"/>
        <v>0370</v>
      </c>
      <c r="AM256" t="str">
        <f t="shared" si="272"/>
        <v>ｼﾑ</v>
      </c>
      <c r="AN256" t="str">
        <f t="shared" si="250"/>
        <v>012</v>
      </c>
      <c r="AO256" t="str">
        <f t="shared" si="251"/>
        <v>TP-131 ﾊﾝﾖｳ</v>
      </c>
      <c r="AP256">
        <v>100</v>
      </c>
      <c r="AQ256" t="str">
        <f>""</f>
        <v/>
      </c>
      <c r="AR256" t="str">
        <f>""</f>
        <v/>
      </c>
      <c r="AS256" t="str">
        <f>""</f>
        <v/>
      </c>
      <c r="AT256" t="str">
        <f t="shared" si="252"/>
        <v>00</v>
      </c>
      <c r="AU256">
        <v>0.5</v>
      </c>
      <c r="AV256" t="str">
        <f>""</f>
        <v/>
      </c>
      <c r="AW256" t="str">
        <f t="shared" si="273"/>
        <v>06</v>
      </c>
      <c r="AX256" t="str">
        <f t="shared" si="274"/>
        <v>計画</v>
      </c>
      <c r="AY256" t="str">
        <f t="shared" si="275"/>
        <v>02</v>
      </c>
      <c r="AZ256" t="str">
        <f t="shared" si="276"/>
        <v>計画・２社</v>
      </c>
      <c r="BA256" t="str">
        <f>""</f>
        <v/>
      </c>
      <c r="BB256" t="str">
        <f t="shared" si="253"/>
        <v>ＴＰ１３１フタナシ</v>
      </c>
      <c r="BC256" t="str">
        <f t="shared" si="254"/>
        <v xml:space="preserve"> 335.000</v>
      </c>
      <c r="BD256" t="str">
        <f t="shared" si="255"/>
        <v xml:space="preserve"> 168.000</v>
      </c>
      <c r="BE256" t="str">
        <f t="shared" si="256"/>
        <v xml:space="preserve"> 103.000</v>
      </c>
      <c r="BF256" t="str">
        <f t="shared" si="257"/>
        <v xml:space="preserve">   0.006</v>
      </c>
      <c r="BG256" t="str">
        <f>"   6.500"</f>
        <v xml:space="preserve">   6.500</v>
      </c>
      <c r="BH256" t="str">
        <f t="shared" si="283"/>
        <v>しない</v>
      </c>
      <c r="BI256" t="str">
        <f>""</f>
        <v/>
      </c>
      <c r="BJ256" t="str">
        <f t="shared" si="282"/>
        <v>MASTER01</v>
      </c>
      <c r="BK256" t="str">
        <f t="shared" si="286"/>
        <v>2022/04/19</v>
      </c>
      <c r="BL256" t="str">
        <f t="shared" si="268"/>
        <v>NE00</v>
      </c>
      <c r="BM256" t="str">
        <f t="shared" si="269"/>
        <v>１工工務Ｇ</v>
      </c>
      <c r="BN256" t="str">
        <f t="shared" si="278"/>
        <v>46548</v>
      </c>
      <c r="BO256" t="str">
        <f t="shared" si="279"/>
        <v>長畑　玲奈</v>
      </c>
    </row>
    <row r="257" spans="1:67">
      <c r="A257" t="s">
        <v>339</v>
      </c>
      <c r="B257" t="str">
        <f>""</f>
        <v/>
      </c>
      <c r="C257" t="str">
        <f>""</f>
        <v/>
      </c>
      <c r="D257" t="str">
        <f t="shared" si="270"/>
        <v>SHIM</v>
      </c>
      <c r="E257" t="str">
        <f t="shared" si="258"/>
        <v>1Y</v>
      </c>
      <c r="F257" t="str">
        <f t="shared" si="259"/>
        <v>第１工場</v>
      </c>
      <c r="G257" t="str">
        <f t="shared" si="260"/>
        <v>手配</v>
      </c>
      <c r="H257" t="str">
        <f t="shared" si="261"/>
        <v>Ｐ</v>
      </c>
      <c r="I257" t="str">
        <f t="shared" ref="I257:I320" si="287">"6454"</f>
        <v>6454</v>
      </c>
      <c r="J257" t="str">
        <f t="shared" ref="J257:J320" si="288">"（株）ムロコーポレーション"</f>
        <v>（株）ムロコーポレーション</v>
      </c>
      <c r="K257" t="str">
        <f t="shared" si="285"/>
        <v>01</v>
      </c>
      <c r="L257" t="str">
        <f>""</f>
        <v/>
      </c>
      <c r="M257" t="str">
        <f t="shared" si="284"/>
        <v>――</v>
      </c>
      <c r="N257" t="str">
        <f t="shared" si="284"/>
        <v>――</v>
      </c>
      <c r="O257" t="str">
        <f t="shared" si="262"/>
        <v>Ｍ</v>
      </c>
      <c r="P257" t="str">
        <f t="shared" si="263"/>
        <v>01</v>
      </c>
      <c r="Q257" t="str">
        <f t="shared" si="264"/>
        <v>第１</v>
      </c>
      <c r="R257" t="str">
        <f t="shared" si="265"/>
        <v>1Y</v>
      </c>
      <c r="S257" t="str">
        <f t="shared" si="266"/>
        <v>安城第１工場</v>
      </c>
      <c r="T257" t="str">
        <f t="shared" si="267"/>
        <v>直接</v>
      </c>
      <c r="U257" t="str">
        <f>""</f>
        <v/>
      </c>
      <c r="V257" t="str">
        <f>""</f>
        <v/>
      </c>
      <c r="W257" t="str">
        <f>""</f>
        <v/>
      </c>
      <c r="X257">
        <v>1</v>
      </c>
      <c r="Y257">
        <v>1</v>
      </c>
      <c r="Z257">
        <v>0.73</v>
      </c>
      <c r="AA257">
        <v>0.93</v>
      </c>
      <c r="AB257">
        <v>3</v>
      </c>
      <c r="AC257">
        <v>0.93</v>
      </c>
      <c r="AD257">
        <v>0.93</v>
      </c>
      <c r="AE257">
        <v>1.1000000000000001</v>
      </c>
      <c r="AF257">
        <v>0.5</v>
      </c>
      <c r="AG257" t="str">
        <f t="shared" ref="AG257:AG320" si="289">"205"</f>
        <v>205</v>
      </c>
      <c r="AH257" t="str">
        <f t="shared" ref="AH257:AH320" si="290">"（株）ムロコーポレーション"</f>
        <v>（株）ムロコーポレーション</v>
      </c>
      <c r="AI257" t="str">
        <f>"104"</f>
        <v>104</v>
      </c>
      <c r="AJ257" t="str">
        <f>"S-SM-1-39"</f>
        <v>S-SM-1-39</v>
      </c>
      <c r="AK257" t="str">
        <f>"10149"</f>
        <v>10149</v>
      </c>
      <c r="AL257" t="str">
        <f t="shared" si="271"/>
        <v>0370</v>
      </c>
      <c r="AM257" t="str">
        <f t="shared" si="272"/>
        <v>ｼﾑ</v>
      </c>
      <c r="AN257" t="str">
        <f t="shared" ref="AN257:AN320" si="291">"012"</f>
        <v>012</v>
      </c>
      <c r="AO257" t="str">
        <f t="shared" ref="AO257:AO320" si="292">"TP-131 ﾊﾝﾖｳ"</f>
        <v>TP-131 ﾊﾝﾖｳ</v>
      </c>
      <c r="AP257">
        <v>100</v>
      </c>
      <c r="AQ257" t="str">
        <f>""</f>
        <v/>
      </c>
      <c r="AR257" t="str">
        <f>""</f>
        <v/>
      </c>
      <c r="AS257" t="str">
        <f>""</f>
        <v/>
      </c>
      <c r="AT257" t="str">
        <f t="shared" ref="AT257:AT320" si="293">"00"</f>
        <v>00</v>
      </c>
      <c r="AU257">
        <v>0.5</v>
      </c>
      <c r="AV257" t="str">
        <f>""</f>
        <v/>
      </c>
      <c r="AW257" t="str">
        <f t="shared" si="273"/>
        <v>06</v>
      </c>
      <c r="AX257" t="str">
        <f t="shared" si="274"/>
        <v>計画</v>
      </c>
      <c r="AY257" t="str">
        <f t="shared" si="275"/>
        <v>02</v>
      </c>
      <c r="AZ257" t="str">
        <f t="shared" si="276"/>
        <v>計画・２社</v>
      </c>
      <c r="BA257" t="str">
        <f>""</f>
        <v/>
      </c>
      <c r="BB257" t="str">
        <f t="shared" ref="BB257:BB320" si="294">"ＴＰ１３１フタナシ"</f>
        <v>ＴＰ１３１フタナシ</v>
      </c>
      <c r="BC257" t="str">
        <f t="shared" ref="BC257:BC320" si="295">" 335.000"</f>
        <v xml:space="preserve"> 335.000</v>
      </c>
      <c r="BD257" t="str">
        <f t="shared" ref="BD257:BD320" si="296">" 168.000"</f>
        <v xml:space="preserve"> 168.000</v>
      </c>
      <c r="BE257" t="str">
        <f t="shared" ref="BE257:BE320" si="297">" 103.000"</f>
        <v xml:space="preserve"> 103.000</v>
      </c>
      <c r="BF257" t="str">
        <f t="shared" ref="BF257:BF320" si="298">"   0.006"</f>
        <v xml:space="preserve">   0.006</v>
      </c>
      <c r="BG257" t="str">
        <f>"   6.600"</f>
        <v xml:space="preserve">   6.600</v>
      </c>
      <c r="BH257" t="str">
        <f t="shared" si="283"/>
        <v>しない</v>
      </c>
      <c r="BI257" t="str">
        <f>""</f>
        <v/>
      </c>
      <c r="BJ257" t="str">
        <f t="shared" si="282"/>
        <v>MASTER01</v>
      </c>
      <c r="BK257" t="str">
        <f t="shared" si="286"/>
        <v>2022/04/19</v>
      </c>
      <c r="BL257" t="str">
        <f t="shared" si="268"/>
        <v>NE00</v>
      </c>
      <c r="BM257" t="str">
        <f t="shared" si="269"/>
        <v>１工工務Ｇ</v>
      </c>
      <c r="BN257" t="str">
        <f t="shared" si="278"/>
        <v>46548</v>
      </c>
      <c r="BO257" t="str">
        <f t="shared" si="279"/>
        <v>長畑　玲奈</v>
      </c>
    </row>
    <row r="258" spans="1:67">
      <c r="A258" t="s">
        <v>340</v>
      </c>
      <c r="B258" t="str">
        <f>""</f>
        <v/>
      </c>
      <c r="C258" t="str">
        <f>""</f>
        <v/>
      </c>
      <c r="D258" t="str">
        <f t="shared" si="270"/>
        <v>SHIM</v>
      </c>
      <c r="E258" t="str">
        <f t="shared" ref="E258:E321" si="299">"1Y"</f>
        <v>1Y</v>
      </c>
      <c r="F258" t="str">
        <f t="shared" ref="F258:F321" si="300">"第１工場"</f>
        <v>第１工場</v>
      </c>
      <c r="G258" t="str">
        <f t="shared" ref="G258:G321" si="301">"手配"</f>
        <v>手配</v>
      </c>
      <c r="H258" t="str">
        <f t="shared" ref="H258:H321" si="302">"Ｐ"</f>
        <v>Ｐ</v>
      </c>
      <c r="I258" t="str">
        <f t="shared" si="287"/>
        <v>6454</v>
      </c>
      <c r="J258" t="str">
        <f t="shared" si="288"/>
        <v>（株）ムロコーポレーション</v>
      </c>
      <c r="K258" t="str">
        <f t="shared" si="285"/>
        <v>01</v>
      </c>
      <c r="L258" t="str">
        <f>""</f>
        <v/>
      </c>
      <c r="M258" t="str">
        <f t="shared" si="284"/>
        <v>――</v>
      </c>
      <c r="N258" t="str">
        <f t="shared" si="284"/>
        <v>――</v>
      </c>
      <c r="O258" t="str">
        <f t="shared" ref="O258:O321" si="303">"Ｍ"</f>
        <v>Ｍ</v>
      </c>
      <c r="P258" t="str">
        <f t="shared" ref="P258:P321" si="304">"01"</f>
        <v>01</v>
      </c>
      <c r="Q258" t="str">
        <f t="shared" ref="Q258:Q321" si="305">"第１"</f>
        <v>第１</v>
      </c>
      <c r="R258" t="str">
        <f t="shared" ref="R258:R321" si="306">"1Y"</f>
        <v>1Y</v>
      </c>
      <c r="S258" t="str">
        <f t="shared" ref="S258:S321" si="307">"安城第１工場"</f>
        <v>安城第１工場</v>
      </c>
      <c r="T258" t="str">
        <f t="shared" ref="T258:T321" si="308">"直接"</f>
        <v>直接</v>
      </c>
      <c r="U258" t="str">
        <f>""</f>
        <v/>
      </c>
      <c r="V258" t="str">
        <f>""</f>
        <v/>
      </c>
      <c r="W258" t="str">
        <f>""</f>
        <v/>
      </c>
      <c r="X258">
        <v>1</v>
      </c>
      <c r="Y258">
        <v>1</v>
      </c>
      <c r="Z258">
        <v>0.73</v>
      </c>
      <c r="AA258">
        <v>0.93</v>
      </c>
      <c r="AB258">
        <v>3</v>
      </c>
      <c r="AC258">
        <v>0.93</v>
      </c>
      <c r="AD258">
        <v>0.93</v>
      </c>
      <c r="AE258">
        <v>1.1000000000000001</v>
      </c>
      <c r="AF258">
        <v>0.5</v>
      </c>
      <c r="AG258" t="str">
        <f t="shared" si="289"/>
        <v>205</v>
      </c>
      <c r="AH258" t="str">
        <f t="shared" si="290"/>
        <v>（株）ムロコーポレーション</v>
      </c>
      <c r="AI258" t="str">
        <f>"105"</f>
        <v>105</v>
      </c>
      <c r="AJ258" t="str">
        <f>"S-SM-1-40"</f>
        <v>S-SM-1-40</v>
      </c>
      <c r="AK258" t="str">
        <f>"10150"</f>
        <v>10150</v>
      </c>
      <c r="AL258" t="str">
        <f t="shared" si="271"/>
        <v>0370</v>
      </c>
      <c r="AM258" t="str">
        <f t="shared" si="272"/>
        <v>ｼﾑ</v>
      </c>
      <c r="AN258" t="str">
        <f t="shared" si="291"/>
        <v>012</v>
      </c>
      <c r="AO258" t="str">
        <f t="shared" si="292"/>
        <v>TP-131 ﾊﾝﾖｳ</v>
      </c>
      <c r="AP258">
        <v>100</v>
      </c>
      <c r="AQ258" t="str">
        <f>""</f>
        <v/>
      </c>
      <c r="AR258" t="str">
        <f>""</f>
        <v/>
      </c>
      <c r="AS258" t="str">
        <f>""</f>
        <v/>
      </c>
      <c r="AT258" t="str">
        <f t="shared" si="293"/>
        <v>00</v>
      </c>
      <c r="AU258">
        <v>0.5</v>
      </c>
      <c r="AV258" t="str">
        <f>""</f>
        <v/>
      </c>
      <c r="AW258" t="str">
        <f t="shared" si="273"/>
        <v>06</v>
      </c>
      <c r="AX258" t="str">
        <f t="shared" si="274"/>
        <v>計画</v>
      </c>
      <c r="AY258" t="str">
        <f t="shared" si="275"/>
        <v>02</v>
      </c>
      <c r="AZ258" t="str">
        <f t="shared" si="276"/>
        <v>計画・２社</v>
      </c>
      <c r="BA258" t="str">
        <f>""</f>
        <v/>
      </c>
      <c r="BB258" t="str">
        <f t="shared" si="294"/>
        <v>ＴＰ１３１フタナシ</v>
      </c>
      <c r="BC258" t="str">
        <f t="shared" si="295"/>
        <v xml:space="preserve"> 335.000</v>
      </c>
      <c r="BD258" t="str">
        <f t="shared" si="296"/>
        <v xml:space="preserve"> 168.000</v>
      </c>
      <c r="BE258" t="str">
        <f t="shared" si="297"/>
        <v xml:space="preserve"> 103.000</v>
      </c>
      <c r="BF258" t="str">
        <f t="shared" si="298"/>
        <v xml:space="preserve">   0.006</v>
      </c>
      <c r="BG258" t="str">
        <f>"   6.700"</f>
        <v xml:space="preserve">   6.700</v>
      </c>
      <c r="BH258" t="str">
        <f t="shared" si="283"/>
        <v>しない</v>
      </c>
      <c r="BI258" t="str">
        <f>""</f>
        <v/>
      </c>
      <c r="BJ258" t="str">
        <f t="shared" si="282"/>
        <v>MASTER01</v>
      </c>
      <c r="BK258" t="str">
        <f t="shared" si="286"/>
        <v>2022/04/19</v>
      </c>
      <c r="BL258" t="str">
        <f t="shared" ref="BL258:BL321" si="309">"NE00"</f>
        <v>NE00</v>
      </c>
      <c r="BM258" t="str">
        <f t="shared" ref="BM258:BM321" si="310">"１工工務Ｇ"</f>
        <v>１工工務Ｇ</v>
      </c>
      <c r="BN258" t="str">
        <f t="shared" si="278"/>
        <v>46548</v>
      </c>
      <c r="BO258" t="str">
        <f t="shared" si="279"/>
        <v>長畑　玲奈</v>
      </c>
    </row>
    <row r="259" spans="1:67">
      <c r="A259" t="s">
        <v>341</v>
      </c>
      <c r="B259" t="str">
        <f>""</f>
        <v/>
      </c>
      <c r="C259" t="str">
        <f>""</f>
        <v/>
      </c>
      <c r="D259" t="str">
        <f t="shared" si="270"/>
        <v>SHIM</v>
      </c>
      <c r="E259" t="str">
        <f t="shared" si="299"/>
        <v>1Y</v>
      </c>
      <c r="F259" t="str">
        <f t="shared" si="300"/>
        <v>第１工場</v>
      </c>
      <c r="G259" t="str">
        <f t="shared" si="301"/>
        <v>手配</v>
      </c>
      <c r="H259" t="str">
        <f t="shared" si="302"/>
        <v>Ｐ</v>
      </c>
      <c r="I259" t="str">
        <f t="shared" si="287"/>
        <v>6454</v>
      </c>
      <c r="J259" t="str">
        <f t="shared" si="288"/>
        <v>（株）ムロコーポレーション</v>
      </c>
      <c r="K259" t="str">
        <f t="shared" si="285"/>
        <v>01</v>
      </c>
      <c r="L259" t="str">
        <f>""</f>
        <v/>
      </c>
      <c r="M259" t="str">
        <f t="shared" si="284"/>
        <v>――</v>
      </c>
      <c r="N259" t="str">
        <f t="shared" si="284"/>
        <v>――</v>
      </c>
      <c r="O259" t="str">
        <f t="shared" si="303"/>
        <v>Ｍ</v>
      </c>
      <c r="P259" t="str">
        <f t="shared" si="304"/>
        <v>01</v>
      </c>
      <c r="Q259" t="str">
        <f t="shared" si="305"/>
        <v>第１</v>
      </c>
      <c r="R259" t="str">
        <f t="shared" si="306"/>
        <v>1Y</v>
      </c>
      <c r="S259" t="str">
        <f t="shared" si="307"/>
        <v>安城第１工場</v>
      </c>
      <c r="T259" t="str">
        <f t="shared" si="308"/>
        <v>直接</v>
      </c>
      <c r="U259" t="str">
        <f>""</f>
        <v/>
      </c>
      <c r="V259" t="str">
        <f>""</f>
        <v/>
      </c>
      <c r="W259" t="str">
        <f>""</f>
        <v/>
      </c>
      <c r="X259">
        <v>1</v>
      </c>
      <c r="Y259">
        <v>1</v>
      </c>
      <c r="Z259">
        <v>0.73</v>
      </c>
      <c r="AA259">
        <v>0.93</v>
      </c>
      <c r="AB259">
        <v>3</v>
      </c>
      <c r="AC259">
        <v>0.93</v>
      </c>
      <c r="AD259">
        <v>0.93</v>
      </c>
      <c r="AE259">
        <v>1.1000000000000001</v>
      </c>
      <c r="AF259">
        <v>0.5</v>
      </c>
      <c r="AG259" t="str">
        <f t="shared" si="289"/>
        <v>205</v>
      </c>
      <c r="AH259" t="str">
        <f t="shared" si="290"/>
        <v>（株）ムロコーポレーション</v>
      </c>
      <c r="AI259" t="str">
        <f>"106"</f>
        <v>106</v>
      </c>
      <c r="AJ259" t="str">
        <f>"S-SM-1-41"</f>
        <v>S-SM-1-41</v>
      </c>
      <c r="AK259" t="str">
        <f>"10151"</f>
        <v>10151</v>
      </c>
      <c r="AL259" t="str">
        <f t="shared" si="271"/>
        <v>0370</v>
      </c>
      <c r="AM259" t="str">
        <f t="shared" si="272"/>
        <v>ｼﾑ</v>
      </c>
      <c r="AN259" t="str">
        <f t="shared" si="291"/>
        <v>012</v>
      </c>
      <c r="AO259" t="str">
        <f t="shared" si="292"/>
        <v>TP-131 ﾊﾝﾖｳ</v>
      </c>
      <c r="AP259">
        <v>100</v>
      </c>
      <c r="AQ259" t="str">
        <f>""</f>
        <v/>
      </c>
      <c r="AR259" t="str">
        <f>""</f>
        <v/>
      </c>
      <c r="AS259" t="str">
        <f>""</f>
        <v/>
      </c>
      <c r="AT259" t="str">
        <f t="shared" si="293"/>
        <v>00</v>
      </c>
      <c r="AU259">
        <v>0.5</v>
      </c>
      <c r="AV259" t="str">
        <f>""</f>
        <v/>
      </c>
      <c r="AW259" t="str">
        <f t="shared" si="273"/>
        <v>06</v>
      </c>
      <c r="AX259" t="str">
        <f t="shared" si="274"/>
        <v>計画</v>
      </c>
      <c r="AY259" t="str">
        <f t="shared" si="275"/>
        <v>02</v>
      </c>
      <c r="AZ259" t="str">
        <f t="shared" si="276"/>
        <v>計画・２社</v>
      </c>
      <c r="BA259" t="str">
        <f>""</f>
        <v/>
      </c>
      <c r="BB259" t="str">
        <f t="shared" si="294"/>
        <v>ＴＰ１３１フタナシ</v>
      </c>
      <c r="BC259" t="str">
        <f t="shared" si="295"/>
        <v xml:space="preserve"> 335.000</v>
      </c>
      <c r="BD259" t="str">
        <f t="shared" si="296"/>
        <v xml:space="preserve"> 168.000</v>
      </c>
      <c r="BE259" t="str">
        <f t="shared" si="297"/>
        <v xml:space="preserve"> 103.000</v>
      </c>
      <c r="BF259" t="str">
        <f t="shared" si="298"/>
        <v xml:space="preserve">   0.006</v>
      </c>
      <c r="BG259" t="str">
        <f t="shared" ref="BG259:BG277" si="311">"   6.500"</f>
        <v xml:space="preserve">   6.500</v>
      </c>
      <c r="BH259" t="str">
        <f t="shared" si="283"/>
        <v>しない</v>
      </c>
      <c r="BI259" t="str">
        <f>""</f>
        <v/>
      </c>
      <c r="BJ259" t="str">
        <f t="shared" si="282"/>
        <v>MASTER01</v>
      </c>
      <c r="BK259" t="str">
        <f t="shared" si="286"/>
        <v>2022/04/19</v>
      </c>
      <c r="BL259" t="str">
        <f t="shared" si="309"/>
        <v>NE00</v>
      </c>
      <c r="BM259" t="str">
        <f t="shared" si="310"/>
        <v>１工工務Ｇ</v>
      </c>
      <c r="BN259" t="str">
        <f t="shared" si="278"/>
        <v>46548</v>
      </c>
      <c r="BO259" t="str">
        <f t="shared" si="279"/>
        <v>長畑　玲奈</v>
      </c>
    </row>
    <row r="260" spans="1:67">
      <c r="A260" t="s">
        <v>342</v>
      </c>
      <c r="B260" t="str">
        <f>""</f>
        <v/>
      </c>
      <c r="C260" t="str">
        <f>""</f>
        <v/>
      </c>
      <c r="D260" t="str">
        <f t="shared" ref="D260:D323" si="312">"SHIM"</f>
        <v>SHIM</v>
      </c>
      <c r="E260" t="str">
        <f t="shared" si="299"/>
        <v>1Y</v>
      </c>
      <c r="F260" t="str">
        <f t="shared" si="300"/>
        <v>第１工場</v>
      </c>
      <c r="G260" t="str">
        <f t="shared" si="301"/>
        <v>手配</v>
      </c>
      <c r="H260" t="str">
        <f t="shared" si="302"/>
        <v>Ｐ</v>
      </c>
      <c r="I260" t="str">
        <f t="shared" si="287"/>
        <v>6454</v>
      </c>
      <c r="J260" t="str">
        <f t="shared" si="288"/>
        <v>（株）ムロコーポレーション</v>
      </c>
      <c r="K260" t="str">
        <f t="shared" si="285"/>
        <v>01</v>
      </c>
      <c r="L260" t="str">
        <f>""</f>
        <v/>
      </c>
      <c r="M260" t="str">
        <f t="shared" si="284"/>
        <v>――</v>
      </c>
      <c r="N260" t="str">
        <f t="shared" si="284"/>
        <v>――</v>
      </c>
      <c r="O260" t="str">
        <f t="shared" si="303"/>
        <v>Ｍ</v>
      </c>
      <c r="P260" t="str">
        <f t="shared" si="304"/>
        <v>01</v>
      </c>
      <c r="Q260" t="str">
        <f t="shared" si="305"/>
        <v>第１</v>
      </c>
      <c r="R260" t="str">
        <f t="shared" si="306"/>
        <v>1Y</v>
      </c>
      <c r="S260" t="str">
        <f t="shared" si="307"/>
        <v>安城第１工場</v>
      </c>
      <c r="T260" t="str">
        <f t="shared" si="308"/>
        <v>直接</v>
      </c>
      <c r="U260" t="str">
        <f>""</f>
        <v/>
      </c>
      <c r="V260" t="str">
        <f>""</f>
        <v/>
      </c>
      <c r="W260" t="str">
        <f>""</f>
        <v/>
      </c>
      <c r="X260">
        <v>1</v>
      </c>
      <c r="Y260">
        <v>1</v>
      </c>
      <c r="Z260">
        <v>0.73</v>
      </c>
      <c r="AA260">
        <v>0.93</v>
      </c>
      <c r="AB260">
        <v>3</v>
      </c>
      <c r="AC260">
        <v>0.93</v>
      </c>
      <c r="AD260">
        <v>0.93</v>
      </c>
      <c r="AE260">
        <v>1.1000000000000001</v>
      </c>
      <c r="AF260">
        <v>0.5</v>
      </c>
      <c r="AG260" t="str">
        <f t="shared" si="289"/>
        <v>205</v>
      </c>
      <c r="AH260" t="str">
        <f t="shared" si="290"/>
        <v>（株）ムロコーポレーション</v>
      </c>
      <c r="AI260" t="str">
        <f>"107"</f>
        <v>107</v>
      </c>
      <c r="AJ260" t="str">
        <f>"S-SM-1-42"</f>
        <v>S-SM-1-42</v>
      </c>
      <c r="AK260" t="str">
        <f>"10152"</f>
        <v>10152</v>
      </c>
      <c r="AL260" t="str">
        <f t="shared" ref="AL260:AL323" si="313">"0370"</f>
        <v>0370</v>
      </c>
      <c r="AM260" t="str">
        <f t="shared" ref="AM260:AM323" si="314">"ｼﾑ"</f>
        <v>ｼﾑ</v>
      </c>
      <c r="AN260" t="str">
        <f t="shared" si="291"/>
        <v>012</v>
      </c>
      <c r="AO260" t="str">
        <f t="shared" si="292"/>
        <v>TP-131 ﾊﾝﾖｳ</v>
      </c>
      <c r="AP260">
        <v>100</v>
      </c>
      <c r="AQ260" t="str">
        <f>""</f>
        <v/>
      </c>
      <c r="AR260" t="str">
        <f>""</f>
        <v/>
      </c>
      <c r="AS260" t="str">
        <f>""</f>
        <v/>
      </c>
      <c r="AT260" t="str">
        <f t="shared" si="293"/>
        <v>00</v>
      </c>
      <c r="AU260">
        <v>0.5</v>
      </c>
      <c r="AV260" t="str">
        <f>""</f>
        <v/>
      </c>
      <c r="AW260" t="str">
        <f t="shared" ref="AW260:AW323" si="315">"06"</f>
        <v>06</v>
      </c>
      <c r="AX260" t="str">
        <f t="shared" ref="AX260:AX323" si="316">"計画"</f>
        <v>計画</v>
      </c>
      <c r="AY260" t="str">
        <f t="shared" ref="AY260:AY323" si="317">"02"</f>
        <v>02</v>
      </c>
      <c r="AZ260" t="str">
        <f t="shared" ref="AZ260:AZ323" si="318">"計画・２社"</f>
        <v>計画・２社</v>
      </c>
      <c r="BA260" t="str">
        <f>""</f>
        <v/>
      </c>
      <c r="BB260" t="str">
        <f t="shared" si="294"/>
        <v>ＴＰ１３１フタナシ</v>
      </c>
      <c r="BC260" t="str">
        <f t="shared" si="295"/>
        <v xml:space="preserve"> 335.000</v>
      </c>
      <c r="BD260" t="str">
        <f t="shared" si="296"/>
        <v xml:space="preserve"> 168.000</v>
      </c>
      <c r="BE260" t="str">
        <f t="shared" si="297"/>
        <v xml:space="preserve"> 103.000</v>
      </c>
      <c r="BF260" t="str">
        <f t="shared" si="298"/>
        <v xml:space="preserve">   0.006</v>
      </c>
      <c r="BG260" t="str">
        <f t="shared" si="311"/>
        <v xml:space="preserve">   6.500</v>
      </c>
      <c r="BH260" t="str">
        <f t="shared" si="283"/>
        <v>しない</v>
      </c>
      <c r="BI260" t="str">
        <f>""</f>
        <v/>
      </c>
      <c r="BJ260" t="str">
        <f t="shared" si="282"/>
        <v>MASTER01</v>
      </c>
      <c r="BK260" t="str">
        <f t="shared" si="286"/>
        <v>2022/04/19</v>
      </c>
      <c r="BL260" t="str">
        <f t="shared" si="309"/>
        <v>NE00</v>
      </c>
      <c r="BM260" t="str">
        <f t="shared" si="310"/>
        <v>１工工務Ｇ</v>
      </c>
      <c r="BN260" t="str">
        <f t="shared" si="278"/>
        <v>46548</v>
      </c>
      <c r="BO260" t="str">
        <f t="shared" si="279"/>
        <v>長畑　玲奈</v>
      </c>
    </row>
    <row r="261" spans="1:67">
      <c r="A261" t="s">
        <v>343</v>
      </c>
      <c r="B261" t="str">
        <f>""</f>
        <v/>
      </c>
      <c r="C261" t="str">
        <f>""</f>
        <v/>
      </c>
      <c r="D261" t="str">
        <f t="shared" si="312"/>
        <v>SHIM</v>
      </c>
      <c r="E261" t="str">
        <f t="shared" si="299"/>
        <v>1Y</v>
      </c>
      <c r="F261" t="str">
        <f t="shared" si="300"/>
        <v>第１工場</v>
      </c>
      <c r="G261" t="str">
        <f t="shared" si="301"/>
        <v>手配</v>
      </c>
      <c r="H261" t="str">
        <f t="shared" si="302"/>
        <v>Ｐ</v>
      </c>
      <c r="I261" t="str">
        <f t="shared" si="287"/>
        <v>6454</v>
      </c>
      <c r="J261" t="str">
        <f t="shared" si="288"/>
        <v>（株）ムロコーポレーション</v>
      </c>
      <c r="K261" t="str">
        <f t="shared" si="285"/>
        <v>01</v>
      </c>
      <c r="L261" t="str">
        <f>""</f>
        <v/>
      </c>
      <c r="M261" t="str">
        <f t="shared" si="284"/>
        <v>――</v>
      </c>
      <c r="N261" t="str">
        <f t="shared" si="284"/>
        <v>――</v>
      </c>
      <c r="O261" t="str">
        <f t="shared" si="303"/>
        <v>Ｍ</v>
      </c>
      <c r="P261" t="str">
        <f t="shared" si="304"/>
        <v>01</v>
      </c>
      <c r="Q261" t="str">
        <f t="shared" si="305"/>
        <v>第１</v>
      </c>
      <c r="R261" t="str">
        <f t="shared" si="306"/>
        <v>1Y</v>
      </c>
      <c r="S261" t="str">
        <f t="shared" si="307"/>
        <v>安城第１工場</v>
      </c>
      <c r="T261" t="str">
        <f t="shared" si="308"/>
        <v>直接</v>
      </c>
      <c r="U261" t="str">
        <f>""</f>
        <v/>
      </c>
      <c r="V261" t="str">
        <f>""</f>
        <v/>
      </c>
      <c r="W261" t="str">
        <f>""</f>
        <v/>
      </c>
      <c r="X261">
        <v>1</v>
      </c>
      <c r="Y261">
        <v>1</v>
      </c>
      <c r="Z261">
        <v>0.73</v>
      </c>
      <c r="AA261">
        <v>0.93</v>
      </c>
      <c r="AB261">
        <v>3</v>
      </c>
      <c r="AC261">
        <v>0.93</v>
      </c>
      <c r="AD261">
        <v>0.93</v>
      </c>
      <c r="AE261">
        <v>1.1000000000000001</v>
      </c>
      <c r="AF261">
        <v>0.5</v>
      </c>
      <c r="AG261" t="str">
        <f t="shared" si="289"/>
        <v>205</v>
      </c>
      <c r="AH261" t="str">
        <f t="shared" si="290"/>
        <v>（株）ムロコーポレーション</v>
      </c>
      <c r="AI261" t="str">
        <f>"108"</f>
        <v>108</v>
      </c>
      <c r="AJ261" t="str">
        <f>"S-SM-1-43"</f>
        <v>S-SM-1-43</v>
      </c>
      <c r="AK261" t="str">
        <f>"10153"</f>
        <v>10153</v>
      </c>
      <c r="AL261" t="str">
        <f t="shared" si="313"/>
        <v>0370</v>
      </c>
      <c r="AM261" t="str">
        <f t="shared" si="314"/>
        <v>ｼﾑ</v>
      </c>
      <c r="AN261" t="str">
        <f t="shared" si="291"/>
        <v>012</v>
      </c>
      <c r="AO261" t="str">
        <f t="shared" si="292"/>
        <v>TP-131 ﾊﾝﾖｳ</v>
      </c>
      <c r="AP261">
        <v>100</v>
      </c>
      <c r="AQ261" t="str">
        <f>""</f>
        <v/>
      </c>
      <c r="AR261" t="str">
        <f>""</f>
        <v/>
      </c>
      <c r="AS261" t="str">
        <f>""</f>
        <v/>
      </c>
      <c r="AT261" t="str">
        <f t="shared" si="293"/>
        <v>00</v>
      </c>
      <c r="AU261">
        <v>0.5</v>
      </c>
      <c r="AV261" t="str">
        <f>""</f>
        <v/>
      </c>
      <c r="AW261" t="str">
        <f t="shared" si="315"/>
        <v>06</v>
      </c>
      <c r="AX261" t="str">
        <f t="shared" si="316"/>
        <v>計画</v>
      </c>
      <c r="AY261" t="str">
        <f t="shared" si="317"/>
        <v>02</v>
      </c>
      <c r="AZ261" t="str">
        <f t="shared" si="318"/>
        <v>計画・２社</v>
      </c>
      <c r="BA261" t="str">
        <f>""</f>
        <v/>
      </c>
      <c r="BB261" t="str">
        <f t="shared" si="294"/>
        <v>ＴＰ１３１フタナシ</v>
      </c>
      <c r="BC261" t="str">
        <f t="shared" si="295"/>
        <v xml:space="preserve"> 335.000</v>
      </c>
      <c r="BD261" t="str">
        <f t="shared" si="296"/>
        <v xml:space="preserve"> 168.000</v>
      </c>
      <c r="BE261" t="str">
        <f t="shared" si="297"/>
        <v xml:space="preserve"> 103.000</v>
      </c>
      <c r="BF261" t="str">
        <f t="shared" si="298"/>
        <v xml:space="preserve">   0.006</v>
      </c>
      <c r="BG261" t="str">
        <f t="shared" si="311"/>
        <v xml:space="preserve">   6.500</v>
      </c>
      <c r="BH261" t="str">
        <f t="shared" si="283"/>
        <v>しない</v>
      </c>
      <c r="BI261" t="str">
        <f>""</f>
        <v/>
      </c>
      <c r="BJ261" t="str">
        <f t="shared" si="282"/>
        <v>MASTER01</v>
      </c>
      <c r="BK261" t="str">
        <f t="shared" si="286"/>
        <v>2022/04/19</v>
      </c>
      <c r="BL261" t="str">
        <f t="shared" si="309"/>
        <v>NE00</v>
      </c>
      <c r="BM261" t="str">
        <f t="shared" si="310"/>
        <v>１工工務Ｇ</v>
      </c>
      <c r="BN261" t="str">
        <f t="shared" ref="BN261:BN324" si="319">"46548"</f>
        <v>46548</v>
      </c>
      <c r="BO261" t="str">
        <f t="shared" ref="BO261:BO324" si="320">"長畑　玲奈"</f>
        <v>長畑　玲奈</v>
      </c>
    </row>
    <row r="262" spans="1:67">
      <c r="A262" t="s">
        <v>344</v>
      </c>
      <c r="B262" t="str">
        <f>""</f>
        <v/>
      </c>
      <c r="C262" t="str">
        <f>""</f>
        <v/>
      </c>
      <c r="D262" t="str">
        <f t="shared" si="312"/>
        <v>SHIM</v>
      </c>
      <c r="E262" t="str">
        <f t="shared" si="299"/>
        <v>1Y</v>
      </c>
      <c r="F262" t="str">
        <f t="shared" si="300"/>
        <v>第１工場</v>
      </c>
      <c r="G262" t="str">
        <f t="shared" si="301"/>
        <v>手配</v>
      </c>
      <c r="H262" t="str">
        <f t="shared" si="302"/>
        <v>Ｐ</v>
      </c>
      <c r="I262" t="str">
        <f t="shared" si="287"/>
        <v>6454</v>
      </c>
      <c r="J262" t="str">
        <f t="shared" si="288"/>
        <v>（株）ムロコーポレーション</v>
      </c>
      <c r="K262" t="str">
        <f t="shared" si="285"/>
        <v>01</v>
      </c>
      <c r="L262" t="str">
        <f>""</f>
        <v/>
      </c>
      <c r="M262" t="str">
        <f t="shared" si="284"/>
        <v>――</v>
      </c>
      <c r="N262" t="str">
        <f t="shared" si="284"/>
        <v>――</v>
      </c>
      <c r="O262" t="str">
        <f t="shared" si="303"/>
        <v>Ｍ</v>
      </c>
      <c r="P262" t="str">
        <f t="shared" si="304"/>
        <v>01</v>
      </c>
      <c r="Q262" t="str">
        <f t="shared" si="305"/>
        <v>第１</v>
      </c>
      <c r="R262" t="str">
        <f t="shared" si="306"/>
        <v>1Y</v>
      </c>
      <c r="S262" t="str">
        <f t="shared" si="307"/>
        <v>安城第１工場</v>
      </c>
      <c r="T262" t="str">
        <f t="shared" si="308"/>
        <v>直接</v>
      </c>
      <c r="U262" t="str">
        <f>""</f>
        <v/>
      </c>
      <c r="V262" t="str">
        <f>""</f>
        <v/>
      </c>
      <c r="W262" t="str">
        <f>""</f>
        <v/>
      </c>
      <c r="X262">
        <v>1</v>
      </c>
      <c r="Y262">
        <v>1</v>
      </c>
      <c r="Z262">
        <v>0.73</v>
      </c>
      <c r="AA262">
        <v>0.93</v>
      </c>
      <c r="AB262">
        <v>3</v>
      </c>
      <c r="AC262">
        <v>0.93</v>
      </c>
      <c r="AD262">
        <v>0.93</v>
      </c>
      <c r="AE262">
        <v>1.1000000000000001</v>
      </c>
      <c r="AF262">
        <v>0.5</v>
      </c>
      <c r="AG262" t="str">
        <f t="shared" si="289"/>
        <v>205</v>
      </c>
      <c r="AH262" t="str">
        <f t="shared" si="290"/>
        <v>（株）ムロコーポレーション</v>
      </c>
      <c r="AI262" t="str">
        <f>"109"</f>
        <v>109</v>
      </c>
      <c r="AJ262" t="str">
        <f>"S-SM-1-53"</f>
        <v>S-SM-1-53</v>
      </c>
      <c r="AK262" t="str">
        <f>"10154"</f>
        <v>10154</v>
      </c>
      <c r="AL262" t="str">
        <f t="shared" si="313"/>
        <v>0370</v>
      </c>
      <c r="AM262" t="str">
        <f t="shared" si="314"/>
        <v>ｼﾑ</v>
      </c>
      <c r="AN262" t="str">
        <f t="shared" si="291"/>
        <v>012</v>
      </c>
      <c r="AO262" t="str">
        <f t="shared" si="292"/>
        <v>TP-131 ﾊﾝﾖｳ</v>
      </c>
      <c r="AP262">
        <v>100</v>
      </c>
      <c r="AQ262" t="str">
        <f>""</f>
        <v/>
      </c>
      <c r="AR262" t="str">
        <f>""</f>
        <v/>
      </c>
      <c r="AS262" t="str">
        <f>""</f>
        <v/>
      </c>
      <c r="AT262" t="str">
        <f t="shared" si="293"/>
        <v>00</v>
      </c>
      <c r="AU262">
        <v>0.5</v>
      </c>
      <c r="AV262" t="str">
        <f>""</f>
        <v/>
      </c>
      <c r="AW262" t="str">
        <f t="shared" si="315"/>
        <v>06</v>
      </c>
      <c r="AX262" t="str">
        <f t="shared" si="316"/>
        <v>計画</v>
      </c>
      <c r="AY262" t="str">
        <f t="shared" si="317"/>
        <v>02</v>
      </c>
      <c r="AZ262" t="str">
        <f t="shared" si="318"/>
        <v>計画・２社</v>
      </c>
      <c r="BA262" t="str">
        <f>""</f>
        <v/>
      </c>
      <c r="BB262" t="str">
        <f t="shared" si="294"/>
        <v>ＴＰ１３１フタナシ</v>
      </c>
      <c r="BC262" t="str">
        <f t="shared" si="295"/>
        <v xml:space="preserve"> 335.000</v>
      </c>
      <c r="BD262" t="str">
        <f t="shared" si="296"/>
        <v xml:space="preserve"> 168.000</v>
      </c>
      <c r="BE262" t="str">
        <f t="shared" si="297"/>
        <v xml:space="preserve"> 103.000</v>
      </c>
      <c r="BF262" t="str">
        <f t="shared" si="298"/>
        <v xml:space="preserve">   0.006</v>
      </c>
      <c r="BG262" t="str">
        <f t="shared" si="311"/>
        <v xml:space="preserve">   6.500</v>
      </c>
      <c r="BH262" t="str">
        <f t="shared" si="283"/>
        <v>しない</v>
      </c>
      <c r="BI262" t="str">
        <f>""</f>
        <v/>
      </c>
      <c r="BJ262" t="str">
        <f t="shared" si="282"/>
        <v>MASTER01</v>
      </c>
      <c r="BK262" t="str">
        <f t="shared" si="286"/>
        <v>2022/04/19</v>
      </c>
      <c r="BL262" t="str">
        <f t="shared" si="309"/>
        <v>NE00</v>
      </c>
      <c r="BM262" t="str">
        <f t="shared" si="310"/>
        <v>１工工務Ｇ</v>
      </c>
      <c r="BN262" t="str">
        <f t="shared" si="319"/>
        <v>46548</v>
      </c>
      <c r="BO262" t="str">
        <f t="shared" si="320"/>
        <v>長畑　玲奈</v>
      </c>
    </row>
    <row r="263" spans="1:67">
      <c r="A263" t="s">
        <v>345</v>
      </c>
      <c r="B263" t="str">
        <f>""</f>
        <v/>
      </c>
      <c r="C263" t="str">
        <f>""</f>
        <v/>
      </c>
      <c r="D263" t="str">
        <f t="shared" si="312"/>
        <v>SHIM</v>
      </c>
      <c r="E263" t="str">
        <f t="shared" si="299"/>
        <v>1Y</v>
      </c>
      <c r="F263" t="str">
        <f t="shared" si="300"/>
        <v>第１工場</v>
      </c>
      <c r="G263" t="str">
        <f t="shared" si="301"/>
        <v>手配</v>
      </c>
      <c r="H263" t="str">
        <f t="shared" si="302"/>
        <v>Ｐ</v>
      </c>
      <c r="I263" t="str">
        <f t="shared" si="287"/>
        <v>6454</v>
      </c>
      <c r="J263" t="str">
        <f t="shared" si="288"/>
        <v>（株）ムロコーポレーション</v>
      </c>
      <c r="K263" t="str">
        <f t="shared" si="285"/>
        <v>01</v>
      </c>
      <c r="L263" t="str">
        <f>""</f>
        <v/>
      </c>
      <c r="M263" t="str">
        <f t="shared" si="284"/>
        <v>――</v>
      </c>
      <c r="N263" t="str">
        <f t="shared" si="284"/>
        <v>――</v>
      </c>
      <c r="O263" t="str">
        <f t="shared" si="303"/>
        <v>Ｍ</v>
      </c>
      <c r="P263" t="str">
        <f t="shared" si="304"/>
        <v>01</v>
      </c>
      <c r="Q263" t="str">
        <f t="shared" si="305"/>
        <v>第１</v>
      </c>
      <c r="R263" t="str">
        <f t="shared" si="306"/>
        <v>1Y</v>
      </c>
      <c r="S263" t="str">
        <f t="shared" si="307"/>
        <v>安城第１工場</v>
      </c>
      <c r="T263" t="str">
        <f t="shared" si="308"/>
        <v>直接</v>
      </c>
      <c r="U263" t="str">
        <f>""</f>
        <v/>
      </c>
      <c r="V263" t="str">
        <f>""</f>
        <v/>
      </c>
      <c r="W263" t="str">
        <f>""</f>
        <v/>
      </c>
      <c r="X263">
        <v>1</v>
      </c>
      <c r="Y263">
        <v>1</v>
      </c>
      <c r="Z263">
        <v>0.73</v>
      </c>
      <c r="AA263">
        <v>0.93</v>
      </c>
      <c r="AB263">
        <v>3</v>
      </c>
      <c r="AC263">
        <v>0.93</v>
      </c>
      <c r="AD263">
        <v>0.93</v>
      </c>
      <c r="AE263">
        <v>1.1000000000000001</v>
      </c>
      <c r="AF263">
        <v>0.5</v>
      </c>
      <c r="AG263" t="str">
        <f t="shared" si="289"/>
        <v>205</v>
      </c>
      <c r="AH263" t="str">
        <f t="shared" si="290"/>
        <v>（株）ムロコーポレーション</v>
      </c>
      <c r="AI263" t="str">
        <f>"110"</f>
        <v>110</v>
      </c>
      <c r="AJ263" t="str">
        <f>"S-SM-1-54"</f>
        <v>S-SM-1-54</v>
      </c>
      <c r="AK263" t="str">
        <f>"10155"</f>
        <v>10155</v>
      </c>
      <c r="AL263" t="str">
        <f t="shared" si="313"/>
        <v>0370</v>
      </c>
      <c r="AM263" t="str">
        <f t="shared" si="314"/>
        <v>ｼﾑ</v>
      </c>
      <c r="AN263" t="str">
        <f t="shared" si="291"/>
        <v>012</v>
      </c>
      <c r="AO263" t="str">
        <f t="shared" si="292"/>
        <v>TP-131 ﾊﾝﾖｳ</v>
      </c>
      <c r="AP263">
        <v>100</v>
      </c>
      <c r="AQ263" t="str">
        <f>""</f>
        <v/>
      </c>
      <c r="AR263" t="str">
        <f>""</f>
        <v/>
      </c>
      <c r="AS263" t="str">
        <f>""</f>
        <v/>
      </c>
      <c r="AT263" t="str">
        <f t="shared" si="293"/>
        <v>00</v>
      </c>
      <c r="AU263">
        <v>0.5</v>
      </c>
      <c r="AV263" t="str">
        <f>""</f>
        <v/>
      </c>
      <c r="AW263" t="str">
        <f t="shared" si="315"/>
        <v>06</v>
      </c>
      <c r="AX263" t="str">
        <f t="shared" si="316"/>
        <v>計画</v>
      </c>
      <c r="AY263" t="str">
        <f t="shared" si="317"/>
        <v>02</v>
      </c>
      <c r="AZ263" t="str">
        <f t="shared" si="318"/>
        <v>計画・２社</v>
      </c>
      <c r="BA263" t="str">
        <f>""</f>
        <v/>
      </c>
      <c r="BB263" t="str">
        <f t="shared" si="294"/>
        <v>ＴＰ１３１フタナシ</v>
      </c>
      <c r="BC263" t="str">
        <f t="shared" si="295"/>
        <v xml:space="preserve"> 335.000</v>
      </c>
      <c r="BD263" t="str">
        <f t="shared" si="296"/>
        <v xml:space="preserve"> 168.000</v>
      </c>
      <c r="BE263" t="str">
        <f t="shared" si="297"/>
        <v xml:space="preserve"> 103.000</v>
      </c>
      <c r="BF263" t="str">
        <f t="shared" si="298"/>
        <v xml:space="preserve">   0.006</v>
      </c>
      <c r="BG263" t="str">
        <f t="shared" si="311"/>
        <v xml:space="preserve">   6.500</v>
      </c>
      <c r="BH263" t="str">
        <f t="shared" si="283"/>
        <v>しない</v>
      </c>
      <c r="BI263" t="str">
        <f>""</f>
        <v/>
      </c>
      <c r="BJ263" t="str">
        <f t="shared" si="282"/>
        <v>MASTER01</v>
      </c>
      <c r="BK263" t="str">
        <f t="shared" si="286"/>
        <v>2022/04/19</v>
      </c>
      <c r="BL263" t="str">
        <f t="shared" si="309"/>
        <v>NE00</v>
      </c>
      <c r="BM263" t="str">
        <f t="shared" si="310"/>
        <v>１工工務Ｇ</v>
      </c>
      <c r="BN263" t="str">
        <f t="shared" si="319"/>
        <v>46548</v>
      </c>
      <c r="BO263" t="str">
        <f t="shared" si="320"/>
        <v>長畑　玲奈</v>
      </c>
    </row>
    <row r="264" spans="1:67">
      <c r="A264" t="s">
        <v>346</v>
      </c>
      <c r="B264" t="str">
        <f>""</f>
        <v/>
      </c>
      <c r="C264" t="str">
        <f>""</f>
        <v/>
      </c>
      <c r="D264" t="str">
        <f t="shared" si="312"/>
        <v>SHIM</v>
      </c>
      <c r="E264" t="str">
        <f t="shared" si="299"/>
        <v>1Y</v>
      </c>
      <c r="F264" t="str">
        <f t="shared" si="300"/>
        <v>第１工場</v>
      </c>
      <c r="G264" t="str">
        <f t="shared" si="301"/>
        <v>手配</v>
      </c>
      <c r="H264" t="str">
        <f t="shared" si="302"/>
        <v>Ｐ</v>
      </c>
      <c r="I264" t="str">
        <f t="shared" si="287"/>
        <v>6454</v>
      </c>
      <c r="J264" t="str">
        <f t="shared" si="288"/>
        <v>（株）ムロコーポレーション</v>
      </c>
      <c r="K264" t="str">
        <f t="shared" si="285"/>
        <v>01</v>
      </c>
      <c r="L264" t="str">
        <f>""</f>
        <v/>
      </c>
      <c r="M264" t="str">
        <f t="shared" si="284"/>
        <v>――</v>
      </c>
      <c r="N264" t="str">
        <f t="shared" si="284"/>
        <v>――</v>
      </c>
      <c r="O264" t="str">
        <f t="shared" si="303"/>
        <v>Ｍ</v>
      </c>
      <c r="P264" t="str">
        <f t="shared" si="304"/>
        <v>01</v>
      </c>
      <c r="Q264" t="str">
        <f t="shared" si="305"/>
        <v>第１</v>
      </c>
      <c r="R264" t="str">
        <f t="shared" si="306"/>
        <v>1Y</v>
      </c>
      <c r="S264" t="str">
        <f t="shared" si="307"/>
        <v>安城第１工場</v>
      </c>
      <c r="T264" t="str">
        <f t="shared" si="308"/>
        <v>直接</v>
      </c>
      <c r="U264" t="str">
        <f>""</f>
        <v/>
      </c>
      <c r="V264" t="str">
        <f>""</f>
        <v/>
      </c>
      <c r="W264" t="str">
        <f>""</f>
        <v/>
      </c>
      <c r="X264">
        <v>1</v>
      </c>
      <c r="Y264">
        <v>1</v>
      </c>
      <c r="Z264">
        <v>0.73</v>
      </c>
      <c r="AA264">
        <v>0.93</v>
      </c>
      <c r="AB264">
        <v>3</v>
      </c>
      <c r="AC264">
        <v>0.93</v>
      </c>
      <c r="AD264">
        <v>0.93</v>
      </c>
      <c r="AE264">
        <v>1.1000000000000001</v>
      </c>
      <c r="AF264">
        <v>0.5</v>
      </c>
      <c r="AG264" t="str">
        <f t="shared" si="289"/>
        <v>205</v>
      </c>
      <c r="AH264" t="str">
        <f t="shared" si="290"/>
        <v>（株）ムロコーポレーション</v>
      </c>
      <c r="AI264" t="str">
        <f>"111"</f>
        <v>111</v>
      </c>
      <c r="AJ264" t="str">
        <f>"S-SM-3-28"</f>
        <v>S-SM-3-28</v>
      </c>
      <c r="AK264" t="str">
        <f>"10156"</f>
        <v>10156</v>
      </c>
      <c r="AL264" t="str">
        <f t="shared" si="313"/>
        <v>0370</v>
      </c>
      <c r="AM264" t="str">
        <f t="shared" si="314"/>
        <v>ｼﾑ</v>
      </c>
      <c r="AN264" t="str">
        <f t="shared" si="291"/>
        <v>012</v>
      </c>
      <c r="AO264" t="str">
        <f t="shared" si="292"/>
        <v>TP-131 ﾊﾝﾖｳ</v>
      </c>
      <c r="AP264">
        <v>100</v>
      </c>
      <c r="AQ264" t="str">
        <f>""</f>
        <v/>
      </c>
      <c r="AR264" t="str">
        <f>""</f>
        <v/>
      </c>
      <c r="AS264" t="str">
        <f>""</f>
        <v/>
      </c>
      <c r="AT264" t="str">
        <f t="shared" si="293"/>
        <v>00</v>
      </c>
      <c r="AU264">
        <v>0.5</v>
      </c>
      <c r="AV264" t="str">
        <f>""</f>
        <v/>
      </c>
      <c r="AW264" t="str">
        <f t="shared" si="315"/>
        <v>06</v>
      </c>
      <c r="AX264" t="str">
        <f t="shared" si="316"/>
        <v>計画</v>
      </c>
      <c r="AY264" t="str">
        <f t="shared" si="317"/>
        <v>02</v>
      </c>
      <c r="AZ264" t="str">
        <f t="shared" si="318"/>
        <v>計画・２社</v>
      </c>
      <c r="BA264" t="str">
        <f>""</f>
        <v/>
      </c>
      <c r="BB264" t="str">
        <f t="shared" si="294"/>
        <v>ＴＰ１３１フタナシ</v>
      </c>
      <c r="BC264" t="str">
        <f t="shared" si="295"/>
        <v xml:space="preserve"> 335.000</v>
      </c>
      <c r="BD264" t="str">
        <f t="shared" si="296"/>
        <v xml:space="preserve"> 168.000</v>
      </c>
      <c r="BE264" t="str">
        <f t="shared" si="297"/>
        <v xml:space="preserve"> 103.000</v>
      </c>
      <c r="BF264" t="str">
        <f t="shared" si="298"/>
        <v xml:space="preserve">   0.006</v>
      </c>
      <c r="BG264" t="str">
        <f t="shared" si="311"/>
        <v xml:space="preserve">   6.500</v>
      </c>
      <c r="BH264" t="str">
        <f t="shared" si="283"/>
        <v>しない</v>
      </c>
      <c r="BI264" t="str">
        <f>""</f>
        <v/>
      </c>
      <c r="BJ264" t="str">
        <f t="shared" si="282"/>
        <v>MASTER01</v>
      </c>
      <c r="BK264" t="str">
        <f t="shared" si="286"/>
        <v>2022/04/19</v>
      </c>
      <c r="BL264" t="str">
        <f t="shared" si="309"/>
        <v>NE00</v>
      </c>
      <c r="BM264" t="str">
        <f t="shared" si="310"/>
        <v>１工工務Ｇ</v>
      </c>
      <c r="BN264" t="str">
        <f t="shared" si="319"/>
        <v>46548</v>
      </c>
      <c r="BO264" t="str">
        <f t="shared" si="320"/>
        <v>長畑　玲奈</v>
      </c>
    </row>
    <row r="265" spans="1:67">
      <c r="A265" t="s">
        <v>347</v>
      </c>
      <c r="B265" t="str">
        <f>""</f>
        <v/>
      </c>
      <c r="C265" t="str">
        <f>""</f>
        <v/>
      </c>
      <c r="D265" t="str">
        <f t="shared" si="312"/>
        <v>SHIM</v>
      </c>
      <c r="E265" t="str">
        <f t="shared" si="299"/>
        <v>1Y</v>
      </c>
      <c r="F265" t="str">
        <f t="shared" si="300"/>
        <v>第１工場</v>
      </c>
      <c r="G265" t="str">
        <f t="shared" si="301"/>
        <v>手配</v>
      </c>
      <c r="H265" t="str">
        <f t="shared" si="302"/>
        <v>Ｐ</v>
      </c>
      <c r="I265" t="str">
        <f t="shared" si="287"/>
        <v>6454</v>
      </c>
      <c r="J265" t="str">
        <f t="shared" si="288"/>
        <v>（株）ムロコーポレーション</v>
      </c>
      <c r="K265" t="str">
        <f t="shared" si="285"/>
        <v>01</v>
      </c>
      <c r="L265" t="str">
        <f>""</f>
        <v/>
      </c>
      <c r="M265" t="str">
        <f t="shared" si="284"/>
        <v>――</v>
      </c>
      <c r="N265" t="str">
        <f t="shared" si="284"/>
        <v>――</v>
      </c>
      <c r="O265" t="str">
        <f t="shared" si="303"/>
        <v>Ｍ</v>
      </c>
      <c r="P265" t="str">
        <f t="shared" si="304"/>
        <v>01</v>
      </c>
      <c r="Q265" t="str">
        <f t="shared" si="305"/>
        <v>第１</v>
      </c>
      <c r="R265" t="str">
        <f t="shared" si="306"/>
        <v>1Y</v>
      </c>
      <c r="S265" t="str">
        <f t="shared" si="307"/>
        <v>安城第１工場</v>
      </c>
      <c r="T265" t="str">
        <f t="shared" si="308"/>
        <v>直接</v>
      </c>
      <c r="U265" t="str">
        <f>""</f>
        <v/>
      </c>
      <c r="V265" t="str">
        <f>""</f>
        <v/>
      </c>
      <c r="W265" t="str">
        <f>""</f>
        <v/>
      </c>
      <c r="X265">
        <v>1</v>
      </c>
      <c r="Y265">
        <v>1</v>
      </c>
      <c r="Z265">
        <v>0.73</v>
      </c>
      <c r="AA265">
        <v>0.93</v>
      </c>
      <c r="AB265">
        <v>3</v>
      </c>
      <c r="AC265">
        <v>0.93</v>
      </c>
      <c r="AD265">
        <v>0.93</v>
      </c>
      <c r="AE265">
        <v>1.1000000000000001</v>
      </c>
      <c r="AF265">
        <v>0.5</v>
      </c>
      <c r="AG265" t="str">
        <f t="shared" si="289"/>
        <v>205</v>
      </c>
      <c r="AH265" t="str">
        <f t="shared" si="290"/>
        <v>（株）ムロコーポレーション</v>
      </c>
      <c r="AI265" t="str">
        <f>"112"</f>
        <v>112</v>
      </c>
      <c r="AJ265" t="str">
        <f>"S-SM-3-29"</f>
        <v>S-SM-3-29</v>
      </c>
      <c r="AK265" t="str">
        <f>"10157"</f>
        <v>10157</v>
      </c>
      <c r="AL265" t="str">
        <f t="shared" si="313"/>
        <v>0370</v>
      </c>
      <c r="AM265" t="str">
        <f t="shared" si="314"/>
        <v>ｼﾑ</v>
      </c>
      <c r="AN265" t="str">
        <f t="shared" si="291"/>
        <v>012</v>
      </c>
      <c r="AO265" t="str">
        <f t="shared" si="292"/>
        <v>TP-131 ﾊﾝﾖｳ</v>
      </c>
      <c r="AP265">
        <v>100</v>
      </c>
      <c r="AQ265" t="str">
        <f>""</f>
        <v/>
      </c>
      <c r="AR265" t="str">
        <f>""</f>
        <v/>
      </c>
      <c r="AS265" t="str">
        <f>""</f>
        <v/>
      </c>
      <c r="AT265" t="str">
        <f t="shared" si="293"/>
        <v>00</v>
      </c>
      <c r="AU265">
        <v>0.5</v>
      </c>
      <c r="AV265" t="str">
        <f>""</f>
        <v/>
      </c>
      <c r="AW265" t="str">
        <f t="shared" si="315"/>
        <v>06</v>
      </c>
      <c r="AX265" t="str">
        <f t="shared" si="316"/>
        <v>計画</v>
      </c>
      <c r="AY265" t="str">
        <f t="shared" si="317"/>
        <v>02</v>
      </c>
      <c r="AZ265" t="str">
        <f t="shared" si="318"/>
        <v>計画・２社</v>
      </c>
      <c r="BA265" t="str">
        <f>""</f>
        <v/>
      </c>
      <c r="BB265" t="str">
        <f t="shared" si="294"/>
        <v>ＴＰ１３１フタナシ</v>
      </c>
      <c r="BC265" t="str">
        <f t="shared" si="295"/>
        <v xml:space="preserve"> 335.000</v>
      </c>
      <c r="BD265" t="str">
        <f t="shared" si="296"/>
        <v xml:space="preserve"> 168.000</v>
      </c>
      <c r="BE265" t="str">
        <f t="shared" si="297"/>
        <v xml:space="preserve"> 103.000</v>
      </c>
      <c r="BF265" t="str">
        <f t="shared" si="298"/>
        <v xml:space="preserve">   0.006</v>
      </c>
      <c r="BG265" t="str">
        <f t="shared" si="311"/>
        <v xml:space="preserve">   6.500</v>
      </c>
      <c r="BH265" t="str">
        <f t="shared" si="283"/>
        <v>しない</v>
      </c>
      <c r="BI265" t="str">
        <f>""</f>
        <v/>
      </c>
      <c r="BJ265" t="str">
        <f t="shared" si="282"/>
        <v>MASTER01</v>
      </c>
      <c r="BK265" t="str">
        <f t="shared" si="286"/>
        <v>2022/04/19</v>
      </c>
      <c r="BL265" t="str">
        <f t="shared" si="309"/>
        <v>NE00</v>
      </c>
      <c r="BM265" t="str">
        <f t="shared" si="310"/>
        <v>１工工務Ｇ</v>
      </c>
      <c r="BN265" t="str">
        <f t="shared" si="319"/>
        <v>46548</v>
      </c>
      <c r="BO265" t="str">
        <f t="shared" si="320"/>
        <v>長畑　玲奈</v>
      </c>
    </row>
    <row r="266" spans="1:67">
      <c r="A266" t="s">
        <v>348</v>
      </c>
      <c r="B266" t="str">
        <f>""</f>
        <v/>
      </c>
      <c r="C266" t="str">
        <f>""</f>
        <v/>
      </c>
      <c r="D266" t="str">
        <f t="shared" si="312"/>
        <v>SHIM</v>
      </c>
      <c r="E266" t="str">
        <f t="shared" si="299"/>
        <v>1Y</v>
      </c>
      <c r="F266" t="str">
        <f t="shared" si="300"/>
        <v>第１工場</v>
      </c>
      <c r="G266" t="str">
        <f t="shared" si="301"/>
        <v>手配</v>
      </c>
      <c r="H266" t="str">
        <f t="shared" si="302"/>
        <v>Ｐ</v>
      </c>
      <c r="I266" t="str">
        <f t="shared" si="287"/>
        <v>6454</v>
      </c>
      <c r="J266" t="str">
        <f t="shared" si="288"/>
        <v>（株）ムロコーポレーション</v>
      </c>
      <c r="K266" t="str">
        <f t="shared" si="285"/>
        <v>01</v>
      </c>
      <c r="L266" t="str">
        <f>""</f>
        <v/>
      </c>
      <c r="M266" t="str">
        <f t="shared" si="284"/>
        <v>――</v>
      </c>
      <c r="N266" t="str">
        <f t="shared" si="284"/>
        <v>――</v>
      </c>
      <c r="O266" t="str">
        <f t="shared" si="303"/>
        <v>Ｍ</v>
      </c>
      <c r="P266" t="str">
        <f t="shared" si="304"/>
        <v>01</v>
      </c>
      <c r="Q266" t="str">
        <f t="shared" si="305"/>
        <v>第１</v>
      </c>
      <c r="R266" t="str">
        <f t="shared" si="306"/>
        <v>1Y</v>
      </c>
      <c r="S266" t="str">
        <f t="shared" si="307"/>
        <v>安城第１工場</v>
      </c>
      <c r="T266" t="str">
        <f t="shared" si="308"/>
        <v>直接</v>
      </c>
      <c r="U266" t="str">
        <f>""</f>
        <v/>
      </c>
      <c r="V266" t="str">
        <f>""</f>
        <v/>
      </c>
      <c r="W266" t="str">
        <f>""</f>
        <v/>
      </c>
      <c r="X266">
        <v>1</v>
      </c>
      <c r="Y266">
        <v>1</v>
      </c>
      <c r="Z266">
        <v>0.73</v>
      </c>
      <c r="AA266">
        <v>0.93</v>
      </c>
      <c r="AB266">
        <v>3</v>
      </c>
      <c r="AC266">
        <v>0.93</v>
      </c>
      <c r="AD266">
        <v>0.93</v>
      </c>
      <c r="AE266">
        <v>1.1000000000000001</v>
      </c>
      <c r="AF266">
        <v>0.5</v>
      </c>
      <c r="AG266" t="str">
        <f t="shared" si="289"/>
        <v>205</v>
      </c>
      <c r="AH266" t="str">
        <f t="shared" si="290"/>
        <v>（株）ムロコーポレーション</v>
      </c>
      <c r="AI266" t="str">
        <f>"113"</f>
        <v>113</v>
      </c>
      <c r="AJ266" t="str">
        <f>"S-SM-3-30"</f>
        <v>S-SM-3-30</v>
      </c>
      <c r="AK266" t="str">
        <f>"10158"</f>
        <v>10158</v>
      </c>
      <c r="AL266" t="str">
        <f t="shared" si="313"/>
        <v>0370</v>
      </c>
      <c r="AM266" t="str">
        <f t="shared" si="314"/>
        <v>ｼﾑ</v>
      </c>
      <c r="AN266" t="str">
        <f t="shared" si="291"/>
        <v>012</v>
      </c>
      <c r="AO266" t="str">
        <f t="shared" si="292"/>
        <v>TP-131 ﾊﾝﾖｳ</v>
      </c>
      <c r="AP266">
        <v>100</v>
      </c>
      <c r="AQ266" t="str">
        <f>""</f>
        <v/>
      </c>
      <c r="AR266" t="str">
        <f>""</f>
        <v/>
      </c>
      <c r="AS266" t="str">
        <f>""</f>
        <v/>
      </c>
      <c r="AT266" t="str">
        <f t="shared" si="293"/>
        <v>00</v>
      </c>
      <c r="AU266">
        <v>0.5</v>
      </c>
      <c r="AV266" t="str">
        <f>""</f>
        <v/>
      </c>
      <c r="AW266" t="str">
        <f t="shared" si="315"/>
        <v>06</v>
      </c>
      <c r="AX266" t="str">
        <f t="shared" si="316"/>
        <v>計画</v>
      </c>
      <c r="AY266" t="str">
        <f t="shared" si="317"/>
        <v>02</v>
      </c>
      <c r="AZ266" t="str">
        <f t="shared" si="318"/>
        <v>計画・２社</v>
      </c>
      <c r="BA266" t="str">
        <f>""</f>
        <v/>
      </c>
      <c r="BB266" t="str">
        <f t="shared" si="294"/>
        <v>ＴＰ１３１フタナシ</v>
      </c>
      <c r="BC266" t="str">
        <f t="shared" si="295"/>
        <v xml:space="preserve"> 335.000</v>
      </c>
      <c r="BD266" t="str">
        <f t="shared" si="296"/>
        <v xml:space="preserve"> 168.000</v>
      </c>
      <c r="BE266" t="str">
        <f t="shared" si="297"/>
        <v xml:space="preserve"> 103.000</v>
      </c>
      <c r="BF266" t="str">
        <f t="shared" si="298"/>
        <v xml:space="preserve">   0.006</v>
      </c>
      <c r="BG266" t="str">
        <f t="shared" si="311"/>
        <v xml:space="preserve">   6.500</v>
      </c>
      <c r="BH266" t="str">
        <f t="shared" si="283"/>
        <v>しない</v>
      </c>
      <c r="BI266" t="str">
        <f>""</f>
        <v/>
      </c>
      <c r="BJ266" t="str">
        <f t="shared" si="282"/>
        <v>MASTER01</v>
      </c>
      <c r="BK266" t="str">
        <f t="shared" si="286"/>
        <v>2022/04/19</v>
      </c>
      <c r="BL266" t="str">
        <f t="shared" si="309"/>
        <v>NE00</v>
      </c>
      <c r="BM266" t="str">
        <f t="shared" si="310"/>
        <v>１工工務Ｇ</v>
      </c>
      <c r="BN266" t="str">
        <f t="shared" si="319"/>
        <v>46548</v>
      </c>
      <c r="BO266" t="str">
        <f t="shared" si="320"/>
        <v>長畑　玲奈</v>
      </c>
    </row>
    <row r="267" spans="1:67">
      <c r="A267" t="s">
        <v>349</v>
      </c>
      <c r="B267" t="str">
        <f>""</f>
        <v/>
      </c>
      <c r="C267" t="str">
        <f>""</f>
        <v/>
      </c>
      <c r="D267" t="str">
        <f t="shared" si="312"/>
        <v>SHIM</v>
      </c>
      <c r="E267" t="str">
        <f t="shared" si="299"/>
        <v>1Y</v>
      </c>
      <c r="F267" t="str">
        <f t="shared" si="300"/>
        <v>第１工場</v>
      </c>
      <c r="G267" t="str">
        <f t="shared" si="301"/>
        <v>手配</v>
      </c>
      <c r="H267" t="str">
        <f t="shared" si="302"/>
        <v>Ｐ</v>
      </c>
      <c r="I267" t="str">
        <f t="shared" si="287"/>
        <v>6454</v>
      </c>
      <c r="J267" t="str">
        <f t="shared" si="288"/>
        <v>（株）ムロコーポレーション</v>
      </c>
      <c r="K267" t="str">
        <f t="shared" si="285"/>
        <v>01</v>
      </c>
      <c r="L267" t="str">
        <f>""</f>
        <v/>
      </c>
      <c r="M267" t="str">
        <f t="shared" si="284"/>
        <v>――</v>
      </c>
      <c r="N267" t="str">
        <f t="shared" si="284"/>
        <v>――</v>
      </c>
      <c r="O267" t="str">
        <f t="shared" si="303"/>
        <v>Ｍ</v>
      </c>
      <c r="P267" t="str">
        <f t="shared" si="304"/>
        <v>01</v>
      </c>
      <c r="Q267" t="str">
        <f t="shared" si="305"/>
        <v>第１</v>
      </c>
      <c r="R267" t="str">
        <f t="shared" si="306"/>
        <v>1Y</v>
      </c>
      <c r="S267" t="str">
        <f t="shared" si="307"/>
        <v>安城第１工場</v>
      </c>
      <c r="T267" t="str">
        <f t="shared" si="308"/>
        <v>直接</v>
      </c>
      <c r="U267" t="str">
        <f>""</f>
        <v/>
      </c>
      <c r="V267" t="str">
        <f>""</f>
        <v/>
      </c>
      <c r="W267" t="str">
        <f>""</f>
        <v/>
      </c>
      <c r="X267">
        <v>1</v>
      </c>
      <c r="Y267">
        <v>1</v>
      </c>
      <c r="Z267">
        <v>0.73</v>
      </c>
      <c r="AA267">
        <v>0.93</v>
      </c>
      <c r="AB267">
        <v>3</v>
      </c>
      <c r="AC267">
        <v>0.93</v>
      </c>
      <c r="AD267">
        <v>0.93</v>
      </c>
      <c r="AE267">
        <v>1.1000000000000001</v>
      </c>
      <c r="AF267">
        <v>0.5</v>
      </c>
      <c r="AG267" t="str">
        <f t="shared" si="289"/>
        <v>205</v>
      </c>
      <c r="AH267" t="str">
        <f t="shared" si="290"/>
        <v>（株）ムロコーポレーション</v>
      </c>
      <c r="AI267" t="str">
        <f>"114"</f>
        <v>114</v>
      </c>
      <c r="AJ267" t="str">
        <f>"S-SM-3-31"</f>
        <v>S-SM-3-31</v>
      </c>
      <c r="AK267" t="str">
        <f>"10159"</f>
        <v>10159</v>
      </c>
      <c r="AL267" t="str">
        <f t="shared" si="313"/>
        <v>0370</v>
      </c>
      <c r="AM267" t="str">
        <f t="shared" si="314"/>
        <v>ｼﾑ</v>
      </c>
      <c r="AN267" t="str">
        <f t="shared" si="291"/>
        <v>012</v>
      </c>
      <c r="AO267" t="str">
        <f t="shared" si="292"/>
        <v>TP-131 ﾊﾝﾖｳ</v>
      </c>
      <c r="AP267">
        <v>100</v>
      </c>
      <c r="AQ267" t="str">
        <f>""</f>
        <v/>
      </c>
      <c r="AR267" t="str">
        <f>""</f>
        <v/>
      </c>
      <c r="AS267" t="str">
        <f>""</f>
        <v/>
      </c>
      <c r="AT267" t="str">
        <f t="shared" si="293"/>
        <v>00</v>
      </c>
      <c r="AU267">
        <v>0.5</v>
      </c>
      <c r="AV267" t="str">
        <f>""</f>
        <v/>
      </c>
      <c r="AW267" t="str">
        <f t="shared" si="315"/>
        <v>06</v>
      </c>
      <c r="AX267" t="str">
        <f t="shared" si="316"/>
        <v>計画</v>
      </c>
      <c r="AY267" t="str">
        <f t="shared" si="317"/>
        <v>02</v>
      </c>
      <c r="AZ267" t="str">
        <f t="shared" si="318"/>
        <v>計画・２社</v>
      </c>
      <c r="BA267" t="str">
        <f>""</f>
        <v/>
      </c>
      <c r="BB267" t="str">
        <f t="shared" si="294"/>
        <v>ＴＰ１３１フタナシ</v>
      </c>
      <c r="BC267" t="str">
        <f t="shared" si="295"/>
        <v xml:space="preserve"> 335.000</v>
      </c>
      <c r="BD267" t="str">
        <f t="shared" si="296"/>
        <v xml:space="preserve"> 168.000</v>
      </c>
      <c r="BE267" t="str">
        <f t="shared" si="297"/>
        <v xml:space="preserve"> 103.000</v>
      </c>
      <c r="BF267" t="str">
        <f t="shared" si="298"/>
        <v xml:space="preserve">   0.006</v>
      </c>
      <c r="BG267" t="str">
        <f t="shared" si="311"/>
        <v xml:space="preserve">   6.500</v>
      </c>
      <c r="BH267" t="str">
        <f t="shared" si="283"/>
        <v>しない</v>
      </c>
      <c r="BI267" t="str">
        <f>""</f>
        <v/>
      </c>
      <c r="BJ267" t="str">
        <f t="shared" si="282"/>
        <v>MASTER01</v>
      </c>
      <c r="BK267" t="str">
        <f t="shared" si="286"/>
        <v>2022/04/19</v>
      </c>
      <c r="BL267" t="str">
        <f t="shared" si="309"/>
        <v>NE00</v>
      </c>
      <c r="BM267" t="str">
        <f t="shared" si="310"/>
        <v>１工工務Ｇ</v>
      </c>
      <c r="BN267" t="str">
        <f t="shared" si="319"/>
        <v>46548</v>
      </c>
      <c r="BO267" t="str">
        <f t="shared" si="320"/>
        <v>長畑　玲奈</v>
      </c>
    </row>
    <row r="268" spans="1:67">
      <c r="A268" t="s">
        <v>350</v>
      </c>
      <c r="B268" t="str">
        <f>""</f>
        <v/>
      </c>
      <c r="C268" t="str">
        <f>""</f>
        <v/>
      </c>
      <c r="D268" t="str">
        <f t="shared" si="312"/>
        <v>SHIM</v>
      </c>
      <c r="E268" t="str">
        <f t="shared" si="299"/>
        <v>1Y</v>
      </c>
      <c r="F268" t="str">
        <f t="shared" si="300"/>
        <v>第１工場</v>
      </c>
      <c r="G268" t="str">
        <f t="shared" si="301"/>
        <v>手配</v>
      </c>
      <c r="H268" t="str">
        <f t="shared" si="302"/>
        <v>Ｐ</v>
      </c>
      <c r="I268" t="str">
        <f t="shared" si="287"/>
        <v>6454</v>
      </c>
      <c r="J268" t="str">
        <f t="shared" si="288"/>
        <v>（株）ムロコーポレーション</v>
      </c>
      <c r="K268" t="str">
        <f t="shared" si="285"/>
        <v>01</v>
      </c>
      <c r="L268" t="str">
        <f>""</f>
        <v/>
      </c>
      <c r="M268" t="str">
        <f t="shared" si="284"/>
        <v>――</v>
      </c>
      <c r="N268" t="str">
        <f t="shared" si="284"/>
        <v>――</v>
      </c>
      <c r="O268" t="str">
        <f t="shared" si="303"/>
        <v>Ｍ</v>
      </c>
      <c r="P268" t="str">
        <f t="shared" si="304"/>
        <v>01</v>
      </c>
      <c r="Q268" t="str">
        <f t="shared" si="305"/>
        <v>第１</v>
      </c>
      <c r="R268" t="str">
        <f t="shared" si="306"/>
        <v>1Y</v>
      </c>
      <c r="S268" t="str">
        <f t="shared" si="307"/>
        <v>安城第１工場</v>
      </c>
      <c r="T268" t="str">
        <f t="shared" si="308"/>
        <v>直接</v>
      </c>
      <c r="U268" t="str">
        <f>""</f>
        <v/>
      </c>
      <c r="V268" t="str">
        <f>""</f>
        <v/>
      </c>
      <c r="W268" t="str">
        <f>""</f>
        <v/>
      </c>
      <c r="X268">
        <v>1</v>
      </c>
      <c r="Y268">
        <v>1</v>
      </c>
      <c r="Z268">
        <v>0.73</v>
      </c>
      <c r="AA268">
        <v>0.93</v>
      </c>
      <c r="AB268">
        <v>3</v>
      </c>
      <c r="AC268">
        <v>0.93</v>
      </c>
      <c r="AD268">
        <v>0.93</v>
      </c>
      <c r="AE268">
        <v>1.1000000000000001</v>
      </c>
      <c r="AF268">
        <v>0.5</v>
      </c>
      <c r="AG268" t="str">
        <f t="shared" si="289"/>
        <v>205</v>
      </c>
      <c r="AH268" t="str">
        <f t="shared" si="290"/>
        <v>（株）ムロコーポレーション</v>
      </c>
      <c r="AI268" t="str">
        <f>"115"</f>
        <v>115</v>
      </c>
      <c r="AJ268" t="str">
        <f>"S-SM-3-32"</f>
        <v>S-SM-3-32</v>
      </c>
      <c r="AK268" t="str">
        <f>"10160"</f>
        <v>10160</v>
      </c>
      <c r="AL268" t="str">
        <f t="shared" si="313"/>
        <v>0370</v>
      </c>
      <c r="AM268" t="str">
        <f t="shared" si="314"/>
        <v>ｼﾑ</v>
      </c>
      <c r="AN268" t="str">
        <f t="shared" si="291"/>
        <v>012</v>
      </c>
      <c r="AO268" t="str">
        <f t="shared" si="292"/>
        <v>TP-131 ﾊﾝﾖｳ</v>
      </c>
      <c r="AP268">
        <v>100</v>
      </c>
      <c r="AQ268" t="str">
        <f>""</f>
        <v/>
      </c>
      <c r="AR268" t="str">
        <f>""</f>
        <v/>
      </c>
      <c r="AS268" t="str">
        <f>""</f>
        <v/>
      </c>
      <c r="AT268" t="str">
        <f t="shared" si="293"/>
        <v>00</v>
      </c>
      <c r="AU268">
        <v>0.5</v>
      </c>
      <c r="AV268" t="str">
        <f>""</f>
        <v/>
      </c>
      <c r="AW268" t="str">
        <f t="shared" si="315"/>
        <v>06</v>
      </c>
      <c r="AX268" t="str">
        <f t="shared" si="316"/>
        <v>計画</v>
      </c>
      <c r="AY268" t="str">
        <f t="shared" si="317"/>
        <v>02</v>
      </c>
      <c r="AZ268" t="str">
        <f t="shared" si="318"/>
        <v>計画・２社</v>
      </c>
      <c r="BA268" t="str">
        <f>""</f>
        <v/>
      </c>
      <c r="BB268" t="str">
        <f t="shared" si="294"/>
        <v>ＴＰ１３１フタナシ</v>
      </c>
      <c r="BC268" t="str">
        <f t="shared" si="295"/>
        <v xml:space="preserve"> 335.000</v>
      </c>
      <c r="BD268" t="str">
        <f t="shared" si="296"/>
        <v xml:space="preserve"> 168.000</v>
      </c>
      <c r="BE268" t="str">
        <f t="shared" si="297"/>
        <v xml:space="preserve"> 103.000</v>
      </c>
      <c r="BF268" t="str">
        <f t="shared" si="298"/>
        <v xml:space="preserve">   0.006</v>
      </c>
      <c r="BG268" t="str">
        <f t="shared" si="311"/>
        <v xml:space="preserve">   6.500</v>
      </c>
      <c r="BH268" t="str">
        <f t="shared" si="283"/>
        <v>しない</v>
      </c>
      <c r="BI268" t="str">
        <f>""</f>
        <v/>
      </c>
      <c r="BJ268" t="str">
        <f t="shared" si="282"/>
        <v>MASTER01</v>
      </c>
      <c r="BK268" t="str">
        <f t="shared" si="286"/>
        <v>2022/04/19</v>
      </c>
      <c r="BL268" t="str">
        <f t="shared" si="309"/>
        <v>NE00</v>
      </c>
      <c r="BM268" t="str">
        <f t="shared" si="310"/>
        <v>１工工務Ｇ</v>
      </c>
      <c r="BN268" t="str">
        <f t="shared" si="319"/>
        <v>46548</v>
      </c>
      <c r="BO268" t="str">
        <f t="shared" si="320"/>
        <v>長畑　玲奈</v>
      </c>
    </row>
    <row r="269" spans="1:67">
      <c r="A269" t="s">
        <v>351</v>
      </c>
      <c r="B269" t="str">
        <f>""</f>
        <v/>
      </c>
      <c r="C269" t="str">
        <f>""</f>
        <v/>
      </c>
      <c r="D269" t="str">
        <f t="shared" si="312"/>
        <v>SHIM</v>
      </c>
      <c r="E269" t="str">
        <f t="shared" si="299"/>
        <v>1Y</v>
      </c>
      <c r="F269" t="str">
        <f t="shared" si="300"/>
        <v>第１工場</v>
      </c>
      <c r="G269" t="str">
        <f t="shared" si="301"/>
        <v>手配</v>
      </c>
      <c r="H269" t="str">
        <f t="shared" si="302"/>
        <v>Ｐ</v>
      </c>
      <c r="I269" t="str">
        <f t="shared" si="287"/>
        <v>6454</v>
      </c>
      <c r="J269" t="str">
        <f t="shared" si="288"/>
        <v>（株）ムロコーポレーション</v>
      </c>
      <c r="K269" t="str">
        <f t="shared" si="285"/>
        <v>01</v>
      </c>
      <c r="L269" t="str">
        <f>""</f>
        <v/>
      </c>
      <c r="M269" t="str">
        <f t="shared" si="284"/>
        <v>――</v>
      </c>
      <c r="N269" t="str">
        <f t="shared" si="284"/>
        <v>――</v>
      </c>
      <c r="O269" t="str">
        <f t="shared" si="303"/>
        <v>Ｍ</v>
      </c>
      <c r="P269" t="str">
        <f t="shared" si="304"/>
        <v>01</v>
      </c>
      <c r="Q269" t="str">
        <f t="shared" si="305"/>
        <v>第１</v>
      </c>
      <c r="R269" t="str">
        <f t="shared" si="306"/>
        <v>1Y</v>
      </c>
      <c r="S269" t="str">
        <f t="shared" si="307"/>
        <v>安城第１工場</v>
      </c>
      <c r="T269" t="str">
        <f t="shared" si="308"/>
        <v>直接</v>
      </c>
      <c r="U269" t="str">
        <f>""</f>
        <v/>
      </c>
      <c r="V269" t="str">
        <f>""</f>
        <v/>
      </c>
      <c r="W269" t="str">
        <f>""</f>
        <v/>
      </c>
      <c r="X269">
        <v>1</v>
      </c>
      <c r="Y269">
        <v>1</v>
      </c>
      <c r="Z269">
        <v>0.73</v>
      </c>
      <c r="AA269">
        <v>0.93</v>
      </c>
      <c r="AB269">
        <v>3</v>
      </c>
      <c r="AC269">
        <v>0.93</v>
      </c>
      <c r="AD269">
        <v>0.93</v>
      </c>
      <c r="AE269">
        <v>1.1000000000000001</v>
      </c>
      <c r="AF269">
        <v>0.5</v>
      </c>
      <c r="AG269" t="str">
        <f t="shared" si="289"/>
        <v>205</v>
      </c>
      <c r="AH269" t="str">
        <f t="shared" si="290"/>
        <v>（株）ムロコーポレーション</v>
      </c>
      <c r="AI269" t="str">
        <f>"116"</f>
        <v>116</v>
      </c>
      <c r="AJ269" t="str">
        <f>"S-SM-3-33"</f>
        <v>S-SM-3-33</v>
      </c>
      <c r="AK269" t="str">
        <f>"10161"</f>
        <v>10161</v>
      </c>
      <c r="AL269" t="str">
        <f t="shared" si="313"/>
        <v>0370</v>
      </c>
      <c r="AM269" t="str">
        <f t="shared" si="314"/>
        <v>ｼﾑ</v>
      </c>
      <c r="AN269" t="str">
        <f t="shared" si="291"/>
        <v>012</v>
      </c>
      <c r="AO269" t="str">
        <f t="shared" si="292"/>
        <v>TP-131 ﾊﾝﾖｳ</v>
      </c>
      <c r="AP269">
        <v>100</v>
      </c>
      <c r="AQ269" t="str">
        <f>""</f>
        <v/>
      </c>
      <c r="AR269" t="str">
        <f>""</f>
        <v/>
      </c>
      <c r="AS269" t="str">
        <f>""</f>
        <v/>
      </c>
      <c r="AT269" t="str">
        <f t="shared" si="293"/>
        <v>00</v>
      </c>
      <c r="AU269">
        <v>0.5</v>
      </c>
      <c r="AV269" t="str">
        <f>""</f>
        <v/>
      </c>
      <c r="AW269" t="str">
        <f t="shared" si="315"/>
        <v>06</v>
      </c>
      <c r="AX269" t="str">
        <f t="shared" si="316"/>
        <v>計画</v>
      </c>
      <c r="AY269" t="str">
        <f t="shared" si="317"/>
        <v>02</v>
      </c>
      <c r="AZ269" t="str">
        <f t="shared" si="318"/>
        <v>計画・２社</v>
      </c>
      <c r="BA269" t="str">
        <f>""</f>
        <v/>
      </c>
      <c r="BB269" t="str">
        <f t="shared" si="294"/>
        <v>ＴＰ１３１フタナシ</v>
      </c>
      <c r="BC269" t="str">
        <f t="shared" si="295"/>
        <v xml:space="preserve"> 335.000</v>
      </c>
      <c r="BD269" t="str">
        <f t="shared" si="296"/>
        <v xml:space="preserve"> 168.000</v>
      </c>
      <c r="BE269" t="str">
        <f t="shared" si="297"/>
        <v xml:space="preserve"> 103.000</v>
      </c>
      <c r="BF269" t="str">
        <f t="shared" si="298"/>
        <v xml:space="preserve">   0.006</v>
      </c>
      <c r="BG269" t="str">
        <f t="shared" si="311"/>
        <v xml:space="preserve">   6.500</v>
      </c>
      <c r="BH269" t="str">
        <f t="shared" si="283"/>
        <v>しない</v>
      </c>
      <c r="BI269" t="str">
        <f>""</f>
        <v/>
      </c>
      <c r="BJ269" t="str">
        <f t="shared" si="282"/>
        <v>MASTER01</v>
      </c>
      <c r="BK269" t="str">
        <f t="shared" si="286"/>
        <v>2022/04/19</v>
      </c>
      <c r="BL269" t="str">
        <f t="shared" si="309"/>
        <v>NE00</v>
      </c>
      <c r="BM269" t="str">
        <f t="shared" si="310"/>
        <v>１工工務Ｇ</v>
      </c>
      <c r="BN269" t="str">
        <f t="shared" si="319"/>
        <v>46548</v>
      </c>
      <c r="BO269" t="str">
        <f t="shared" si="320"/>
        <v>長畑　玲奈</v>
      </c>
    </row>
    <row r="270" spans="1:67">
      <c r="A270" t="s">
        <v>352</v>
      </c>
      <c r="B270" t="str">
        <f>""</f>
        <v/>
      </c>
      <c r="C270" t="str">
        <f>""</f>
        <v/>
      </c>
      <c r="D270" t="str">
        <f t="shared" si="312"/>
        <v>SHIM</v>
      </c>
      <c r="E270" t="str">
        <f t="shared" si="299"/>
        <v>1Y</v>
      </c>
      <c r="F270" t="str">
        <f t="shared" si="300"/>
        <v>第１工場</v>
      </c>
      <c r="G270" t="str">
        <f t="shared" si="301"/>
        <v>手配</v>
      </c>
      <c r="H270" t="str">
        <f t="shared" si="302"/>
        <v>Ｐ</v>
      </c>
      <c r="I270" t="str">
        <f t="shared" si="287"/>
        <v>6454</v>
      </c>
      <c r="J270" t="str">
        <f t="shared" si="288"/>
        <v>（株）ムロコーポレーション</v>
      </c>
      <c r="K270" t="str">
        <f t="shared" si="285"/>
        <v>01</v>
      </c>
      <c r="L270" t="str">
        <f>""</f>
        <v/>
      </c>
      <c r="M270" t="str">
        <f t="shared" si="284"/>
        <v>――</v>
      </c>
      <c r="N270" t="str">
        <f t="shared" si="284"/>
        <v>――</v>
      </c>
      <c r="O270" t="str">
        <f t="shared" si="303"/>
        <v>Ｍ</v>
      </c>
      <c r="P270" t="str">
        <f t="shared" si="304"/>
        <v>01</v>
      </c>
      <c r="Q270" t="str">
        <f t="shared" si="305"/>
        <v>第１</v>
      </c>
      <c r="R270" t="str">
        <f t="shared" si="306"/>
        <v>1Y</v>
      </c>
      <c r="S270" t="str">
        <f t="shared" si="307"/>
        <v>安城第１工場</v>
      </c>
      <c r="T270" t="str">
        <f t="shared" si="308"/>
        <v>直接</v>
      </c>
      <c r="U270" t="str">
        <f>""</f>
        <v/>
      </c>
      <c r="V270" t="str">
        <f>""</f>
        <v/>
      </c>
      <c r="W270" t="str">
        <f>""</f>
        <v/>
      </c>
      <c r="X270">
        <v>1</v>
      </c>
      <c r="Y270">
        <v>1</v>
      </c>
      <c r="Z270">
        <v>0.73</v>
      </c>
      <c r="AA270">
        <v>0.93</v>
      </c>
      <c r="AB270">
        <v>3</v>
      </c>
      <c r="AC270">
        <v>0.93</v>
      </c>
      <c r="AD270">
        <v>0.93</v>
      </c>
      <c r="AE270">
        <v>1.1000000000000001</v>
      </c>
      <c r="AF270">
        <v>0.5</v>
      </c>
      <c r="AG270" t="str">
        <f t="shared" si="289"/>
        <v>205</v>
      </c>
      <c r="AH270" t="str">
        <f t="shared" si="290"/>
        <v>（株）ムロコーポレーション</v>
      </c>
      <c r="AI270" t="str">
        <f>"117"</f>
        <v>117</v>
      </c>
      <c r="AJ270" t="str">
        <f>"S-SM-3-34"</f>
        <v>S-SM-3-34</v>
      </c>
      <c r="AK270" t="str">
        <f>"10162"</f>
        <v>10162</v>
      </c>
      <c r="AL270" t="str">
        <f t="shared" si="313"/>
        <v>0370</v>
      </c>
      <c r="AM270" t="str">
        <f t="shared" si="314"/>
        <v>ｼﾑ</v>
      </c>
      <c r="AN270" t="str">
        <f t="shared" si="291"/>
        <v>012</v>
      </c>
      <c r="AO270" t="str">
        <f t="shared" si="292"/>
        <v>TP-131 ﾊﾝﾖｳ</v>
      </c>
      <c r="AP270">
        <v>100</v>
      </c>
      <c r="AQ270" t="str">
        <f>""</f>
        <v/>
      </c>
      <c r="AR270" t="str">
        <f>""</f>
        <v/>
      </c>
      <c r="AS270" t="str">
        <f>""</f>
        <v/>
      </c>
      <c r="AT270" t="str">
        <f t="shared" si="293"/>
        <v>00</v>
      </c>
      <c r="AU270">
        <v>0.5</v>
      </c>
      <c r="AV270" t="str">
        <f>""</f>
        <v/>
      </c>
      <c r="AW270" t="str">
        <f t="shared" si="315"/>
        <v>06</v>
      </c>
      <c r="AX270" t="str">
        <f t="shared" si="316"/>
        <v>計画</v>
      </c>
      <c r="AY270" t="str">
        <f t="shared" si="317"/>
        <v>02</v>
      </c>
      <c r="AZ270" t="str">
        <f t="shared" si="318"/>
        <v>計画・２社</v>
      </c>
      <c r="BA270" t="str">
        <f>""</f>
        <v/>
      </c>
      <c r="BB270" t="str">
        <f t="shared" si="294"/>
        <v>ＴＰ１３１フタナシ</v>
      </c>
      <c r="BC270" t="str">
        <f t="shared" si="295"/>
        <v xml:space="preserve"> 335.000</v>
      </c>
      <c r="BD270" t="str">
        <f t="shared" si="296"/>
        <v xml:space="preserve"> 168.000</v>
      </c>
      <c r="BE270" t="str">
        <f t="shared" si="297"/>
        <v xml:space="preserve"> 103.000</v>
      </c>
      <c r="BF270" t="str">
        <f t="shared" si="298"/>
        <v xml:space="preserve">   0.006</v>
      </c>
      <c r="BG270" t="str">
        <f t="shared" si="311"/>
        <v xml:space="preserve">   6.500</v>
      </c>
      <c r="BH270" t="str">
        <f t="shared" si="283"/>
        <v>しない</v>
      </c>
      <c r="BI270" t="str">
        <f>""</f>
        <v/>
      </c>
      <c r="BJ270" t="str">
        <f t="shared" si="282"/>
        <v>MASTER01</v>
      </c>
      <c r="BK270" t="str">
        <f t="shared" si="286"/>
        <v>2022/04/19</v>
      </c>
      <c r="BL270" t="str">
        <f t="shared" si="309"/>
        <v>NE00</v>
      </c>
      <c r="BM270" t="str">
        <f t="shared" si="310"/>
        <v>１工工務Ｇ</v>
      </c>
      <c r="BN270" t="str">
        <f t="shared" si="319"/>
        <v>46548</v>
      </c>
      <c r="BO270" t="str">
        <f t="shared" si="320"/>
        <v>長畑　玲奈</v>
      </c>
    </row>
    <row r="271" spans="1:67">
      <c r="A271" t="s">
        <v>353</v>
      </c>
      <c r="B271" t="str">
        <f>""</f>
        <v/>
      </c>
      <c r="C271" t="str">
        <f>""</f>
        <v/>
      </c>
      <c r="D271" t="str">
        <f t="shared" si="312"/>
        <v>SHIM</v>
      </c>
      <c r="E271" t="str">
        <f t="shared" si="299"/>
        <v>1Y</v>
      </c>
      <c r="F271" t="str">
        <f t="shared" si="300"/>
        <v>第１工場</v>
      </c>
      <c r="G271" t="str">
        <f t="shared" si="301"/>
        <v>手配</v>
      </c>
      <c r="H271" t="str">
        <f t="shared" si="302"/>
        <v>Ｐ</v>
      </c>
      <c r="I271" t="str">
        <f t="shared" si="287"/>
        <v>6454</v>
      </c>
      <c r="J271" t="str">
        <f t="shared" si="288"/>
        <v>（株）ムロコーポレーション</v>
      </c>
      <c r="K271" t="str">
        <f t="shared" si="285"/>
        <v>01</v>
      </c>
      <c r="L271" t="str">
        <f>""</f>
        <v/>
      </c>
      <c r="M271" t="str">
        <f t="shared" si="284"/>
        <v>――</v>
      </c>
      <c r="N271" t="str">
        <f t="shared" si="284"/>
        <v>――</v>
      </c>
      <c r="O271" t="str">
        <f t="shared" si="303"/>
        <v>Ｍ</v>
      </c>
      <c r="P271" t="str">
        <f t="shared" si="304"/>
        <v>01</v>
      </c>
      <c r="Q271" t="str">
        <f t="shared" si="305"/>
        <v>第１</v>
      </c>
      <c r="R271" t="str">
        <f t="shared" si="306"/>
        <v>1Y</v>
      </c>
      <c r="S271" t="str">
        <f t="shared" si="307"/>
        <v>安城第１工場</v>
      </c>
      <c r="T271" t="str">
        <f t="shared" si="308"/>
        <v>直接</v>
      </c>
      <c r="U271" t="str">
        <f>""</f>
        <v/>
      </c>
      <c r="V271" t="str">
        <f>""</f>
        <v/>
      </c>
      <c r="W271" t="str">
        <f>""</f>
        <v/>
      </c>
      <c r="X271">
        <v>1</v>
      </c>
      <c r="Y271">
        <v>1</v>
      </c>
      <c r="Z271">
        <v>0.73</v>
      </c>
      <c r="AA271">
        <v>0.93</v>
      </c>
      <c r="AB271">
        <v>3</v>
      </c>
      <c r="AC271">
        <v>0.93</v>
      </c>
      <c r="AD271">
        <v>0.93</v>
      </c>
      <c r="AE271">
        <v>1.1000000000000001</v>
      </c>
      <c r="AF271">
        <v>0.5</v>
      </c>
      <c r="AG271" t="str">
        <f t="shared" si="289"/>
        <v>205</v>
      </c>
      <c r="AH271" t="str">
        <f t="shared" si="290"/>
        <v>（株）ムロコーポレーション</v>
      </c>
      <c r="AI271" t="str">
        <f>"118"</f>
        <v>118</v>
      </c>
      <c r="AJ271" t="str">
        <f>"S-SM-3-35"</f>
        <v>S-SM-3-35</v>
      </c>
      <c r="AK271" t="str">
        <f>"10163"</f>
        <v>10163</v>
      </c>
      <c r="AL271" t="str">
        <f t="shared" si="313"/>
        <v>0370</v>
      </c>
      <c r="AM271" t="str">
        <f t="shared" si="314"/>
        <v>ｼﾑ</v>
      </c>
      <c r="AN271" t="str">
        <f t="shared" si="291"/>
        <v>012</v>
      </c>
      <c r="AO271" t="str">
        <f t="shared" si="292"/>
        <v>TP-131 ﾊﾝﾖｳ</v>
      </c>
      <c r="AP271">
        <v>100</v>
      </c>
      <c r="AQ271" t="str">
        <f>""</f>
        <v/>
      </c>
      <c r="AR271" t="str">
        <f>""</f>
        <v/>
      </c>
      <c r="AS271" t="str">
        <f>""</f>
        <v/>
      </c>
      <c r="AT271" t="str">
        <f t="shared" si="293"/>
        <v>00</v>
      </c>
      <c r="AU271">
        <v>0.5</v>
      </c>
      <c r="AV271" t="str">
        <f>""</f>
        <v/>
      </c>
      <c r="AW271" t="str">
        <f t="shared" si="315"/>
        <v>06</v>
      </c>
      <c r="AX271" t="str">
        <f t="shared" si="316"/>
        <v>計画</v>
      </c>
      <c r="AY271" t="str">
        <f t="shared" si="317"/>
        <v>02</v>
      </c>
      <c r="AZ271" t="str">
        <f t="shared" si="318"/>
        <v>計画・２社</v>
      </c>
      <c r="BA271" t="str">
        <f>""</f>
        <v/>
      </c>
      <c r="BB271" t="str">
        <f t="shared" si="294"/>
        <v>ＴＰ１３１フタナシ</v>
      </c>
      <c r="BC271" t="str">
        <f t="shared" si="295"/>
        <v xml:space="preserve"> 335.000</v>
      </c>
      <c r="BD271" t="str">
        <f t="shared" si="296"/>
        <v xml:space="preserve"> 168.000</v>
      </c>
      <c r="BE271" t="str">
        <f t="shared" si="297"/>
        <v xml:space="preserve"> 103.000</v>
      </c>
      <c r="BF271" t="str">
        <f t="shared" si="298"/>
        <v xml:space="preserve">   0.006</v>
      </c>
      <c r="BG271" t="str">
        <f t="shared" si="311"/>
        <v xml:space="preserve">   6.500</v>
      </c>
      <c r="BH271" t="str">
        <f t="shared" si="283"/>
        <v>しない</v>
      </c>
      <c r="BI271" t="str">
        <f>""</f>
        <v/>
      </c>
      <c r="BJ271" t="str">
        <f t="shared" si="282"/>
        <v>MASTER01</v>
      </c>
      <c r="BK271" t="str">
        <f t="shared" si="286"/>
        <v>2022/04/19</v>
      </c>
      <c r="BL271" t="str">
        <f t="shared" si="309"/>
        <v>NE00</v>
      </c>
      <c r="BM271" t="str">
        <f t="shared" si="310"/>
        <v>１工工務Ｇ</v>
      </c>
      <c r="BN271" t="str">
        <f t="shared" si="319"/>
        <v>46548</v>
      </c>
      <c r="BO271" t="str">
        <f t="shared" si="320"/>
        <v>長畑　玲奈</v>
      </c>
    </row>
    <row r="272" spans="1:67">
      <c r="A272" t="s">
        <v>354</v>
      </c>
      <c r="B272" t="str">
        <f>""</f>
        <v/>
      </c>
      <c r="C272" t="str">
        <f>""</f>
        <v/>
      </c>
      <c r="D272" t="str">
        <f t="shared" si="312"/>
        <v>SHIM</v>
      </c>
      <c r="E272" t="str">
        <f t="shared" si="299"/>
        <v>1Y</v>
      </c>
      <c r="F272" t="str">
        <f t="shared" si="300"/>
        <v>第１工場</v>
      </c>
      <c r="G272" t="str">
        <f t="shared" si="301"/>
        <v>手配</v>
      </c>
      <c r="H272" t="str">
        <f t="shared" si="302"/>
        <v>Ｐ</v>
      </c>
      <c r="I272" t="str">
        <f t="shared" si="287"/>
        <v>6454</v>
      </c>
      <c r="J272" t="str">
        <f t="shared" si="288"/>
        <v>（株）ムロコーポレーション</v>
      </c>
      <c r="K272" t="str">
        <f t="shared" si="285"/>
        <v>01</v>
      </c>
      <c r="L272" t="str">
        <f>""</f>
        <v/>
      </c>
      <c r="M272" t="str">
        <f t="shared" si="284"/>
        <v>――</v>
      </c>
      <c r="N272" t="str">
        <f t="shared" si="284"/>
        <v>――</v>
      </c>
      <c r="O272" t="str">
        <f t="shared" si="303"/>
        <v>Ｍ</v>
      </c>
      <c r="P272" t="str">
        <f t="shared" si="304"/>
        <v>01</v>
      </c>
      <c r="Q272" t="str">
        <f t="shared" si="305"/>
        <v>第１</v>
      </c>
      <c r="R272" t="str">
        <f t="shared" si="306"/>
        <v>1Y</v>
      </c>
      <c r="S272" t="str">
        <f t="shared" si="307"/>
        <v>安城第１工場</v>
      </c>
      <c r="T272" t="str">
        <f t="shared" si="308"/>
        <v>直接</v>
      </c>
      <c r="U272" t="str">
        <f>""</f>
        <v/>
      </c>
      <c r="V272" t="str">
        <f>""</f>
        <v/>
      </c>
      <c r="W272" t="str">
        <f>""</f>
        <v/>
      </c>
      <c r="X272">
        <v>1</v>
      </c>
      <c r="Y272">
        <v>1</v>
      </c>
      <c r="Z272">
        <v>0.73</v>
      </c>
      <c r="AA272">
        <v>0.93</v>
      </c>
      <c r="AB272">
        <v>3</v>
      </c>
      <c r="AC272">
        <v>0.93</v>
      </c>
      <c r="AD272">
        <v>0.93</v>
      </c>
      <c r="AE272">
        <v>1.1000000000000001</v>
      </c>
      <c r="AF272">
        <v>0.5</v>
      </c>
      <c r="AG272" t="str">
        <f t="shared" si="289"/>
        <v>205</v>
      </c>
      <c r="AH272" t="str">
        <f t="shared" si="290"/>
        <v>（株）ムロコーポレーション</v>
      </c>
      <c r="AI272" t="str">
        <f>"119"</f>
        <v>119</v>
      </c>
      <c r="AJ272" t="str">
        <f>"S-SM-3-36"</f>
        <v>S-SM-3-36</v>
      </c>
      <c r="AK272" t="str">
        <f>"10164"</f>
        <v>10164</v>
      </c>
      <c r="AL272" t="str">
        <f t="shared" si="313"/>
        <v>0370</v>
      </c>
      <c r="AM272" t="str">
        <f t="shared" si="314"/>
        <v>ｼﾑ</v>
      </c>
      <c r="AN272" t="str">
        <f t="shared" si="291"/>
        <v>012</v>
      </c>
      <c r="AO272" t="str">
        <f t="shared" si="292"/>
        <v>TP-131 ﾊﾝﾖｳ</v>
      </c>
      <c r="AP272">
        <v>100</v>
      </c>
      <c r="AQ272" t="str">
        <f>""</f>
        <v/>
      </c>
      <c r="AR272" t="str">
        <f>""</f>
        <v/>
      </c>
      <c r="AS272" t="str">
        <f>""</f>
        <v/>
      </c>
      <c r="AT272" t="str">
        <f t="shared" si="293"/>
        <v>00</v>
      </c>
      <c r="AU272">
        <v>0.5</v>
      </c>
      <c r="AV272" t="str">
        <f>""</f>
        <v/>
      </c>
      <c r="AW272" t="str">
        <f t="shared" si="315"/>
        <v>06</v>
      </c>
      <c r="AX272" t="str">
        <f t="shared" si="316"/>
        <v>計画</v>
      </c>
      <c r="AY272" t="str">
        <f t="shared" si="317"/>
        <v>02</v>
      </c>
      <c r="AZ272" t="str">
        <f t="shared" si="318"/>
        <v>計画・２社</v>
      </c>
      <c r="BA272" t="str">
        <f>""</f>
        <v/>
      </c>
      <c r="BB272" t="str">
        <f t="shared" si="294"/>
        <v>ＴＰ１３１フタナシ</v>
      </c>
      <c r="BC272" t="str">
        <f t="shared" si="295"/>
        <v xml:space="preserve"> 335.000</v>
      </c>
      <c r="BD272" t="str">
        <f t="shared" si="296"/>
        <v xml:space="preserve"> 168.000</v>
      </c>
      <c r="BE272" t="str">
        <f t="shared" si="297"/>
        <v xml:space="preserve"> 103.000</v>
      </c>
      <c r="BF272" t="str">
        <f t="shared" si="298"/>
        <v xml:space="preserve">   0.006</v>
      </c>
      <c r="BG272" t="str">
        <f t="shared" si="311"/>
        <v xml:space="preserve">   6.500</v>
      </c>
      <c r="BH272" t="str">
        <f t="shared" si="283"/>
        <v>しない</v>
      </c>
      <c r="BI272" t="str">
        <f>""</f>
        <v/>
      </c>
      <c r="BJ272" t="str">
        <f t="shared" si="282"/>
        <v>MASTER01</v>
      </c>
      <c r="BK272" t="str">
        <f t="shared" si="286"/>
        <v>2022/04/19</v>
      </c>
      <c r="BL272" t="str">
        <f t="shared" si="309"/>
        <v>NE00</v>
      </c>
      <c r="BM272" t="str">
        <f t="shared" si="310"/>
        <v>１工工務Ｇ</v>
      </c>
      <c r="BN272" t="str">
        <f t="shared" si="319"/>
        <v>46548</v>
      </c>
      <c r="BO272" t="str">
        <f t="shared" si="320"/>
        <v>長畑　玲奈</v>
      </c>
    </row>
    <row r="273" spans="1:67">
      <c r="A273" t="s">
        <v>355</v>
      </c>
      <c r="B273" t="str">
        <f>""</f>
        <v/>
      </c>
      <c r="C273" t="str">
        <f>""</f>
        <v/>
      </c>
      <c r="D273" t="str">
        <f t="shared" si="312"/>
        <v>SHIM</v>
      </c>
      <c r="E273" t="str">
        <f t="shared" si="299"/>
        <v>1Y</v>
      </c>
      <c r="F273" t="str">
        <f t="shared" si="300"/>
        <v>第１工場</v>
      </c>
      <c r="G273" t="str">
        <f t="shared" si="301"/>
        <v>手配</v>
      </c>
      <c r="H273" t="str">
        <f t="shared" si="302"/>
        <v>Ｐ</v>
      </c>
      <c r="I273" t="str">
        <f t="shared" si="287"/>
        <v>6454</v>
      </c>
      <c r="J273" t="str">
        <f t="shared" si="288"/>
        <v>（株）ムロコーポレーション</v>
      </c>
      <c r="K273" t="str">
        <f t="shared" si="285"/>
        <v>01</v>
      </c>
      <c r="L273" t="str">
        <f>""</f>
        <v/>
      </c>
      <c r="M273" t="str">
        <f t="shared" si="284"/>
        <v>――</v>
      </c>
      <c r="N273" t="str">
        <f t="shared" si="284"/>
        <v>――</v>
      </c>
      <c r="O273" t="str">
        <f t="shared" si="303"/>
        <v>Ｍ</v>
      </c>
      <c r="P273" t="str">
        <f t="shared" si="304"/>
        <v>01</v>
      </c>
      <c r="Q273" t="str">
        <f t="shared" si="305"/>
        <v>第１</v>
      </c>
      <c r="R273" t="str">
        <f t="shared" si="306"/>
        <v>1Y</v>
      </c>
      <c r="S273" t="str">
        <f t="shared" si="307"/>
        <v>安城第１工場</v>
      </c>
      <c r="T273" t="str">
        <f t="shared" si="308"/>
        <v>直接</v>
      </c>
      <c r="U273" t="str">
        <f>""</f>
        <v/>
      </c>
      <c r="V273" t="str">
        <f>""</f>
        <v/>
      </c>
      <c r="W273" t="str">
        <f>""</f>
        <v/>
      </c>
      <c r="X273">
        <v>1</v>
      </c>
      <c r="Y273">
        <v>1</v>
      </c>
      <c r="Z273">
        <v>0.73</v>
      </c>
      <c r="AA273">
        <v>0.93</v>
      </c>
      <c r="AB273">
        <v>3</v>
      </c>
      <c r="AC273">
        <v>0.93</v>
      </c>
      <c r="AD273">
        <v>0.93</v>
      </c>
      <c r="AE273">
        <v>1.1000000000000001</v>
      </c>
      <c r="AF273">
        <v>0.5</v>
      </c>
      <c r="AG273" t="str">
        <f t="shared" si="289"/>
        <v>205</v>
      </c>
      <c r="AH273" t="str">
        <f t="shared" si="290"/>
        <v>（株）ムロコーポレーション</v>
      </c>
      <c r="AI273" t="str">
        <f>"120"</f>
        <v>120</v>
      </c>
      <c r="AJ273" t="str">
        <f>"S-SM-3-37"</f>
        <v>S-SM-3-37</v>
      </c>
      <c r="AK273" t="str">
        <f>"10165"</f>
        <v>10165</v>
      </c>
      <c r="AL273" t="str">
        <f t="shared" si="313"/>
        <v>0370</v>
      </c>
      <c r="AM273" t="str">
        <f t="shared" si="314"/>
        <v>ｼﾑ</v>
      </c>
      <c r="AN273" t="str">
        <f t="shared" si="291"/>
        <v>012</v>
      </c>
      <c r="AO273" t="str">
        <f t="shared" si="292"/>
        <v>TP-131 ﾊﾝﾖｳ</v>
      </c>
      <c r="AP273">
        <v>100</v>
      </c>
      <c r="AQ273" t="str">
        <f>""</f>
        <v/>
      </c>
      <c r="AR273" t="str">
        <f>""</f>
        <v/>
      </c>
      <c r="AS273" t="str">
        <f>""</f>
        <v/>
      </c>
      <c r="AT273" t="str">
        <f t="shared" si="293"/>
        <v>00</v>
      </c>
      <c r="AU273">
        <v>0.5</v>
      </c>
      <c r="AV273" t="str">
        <f>""</f>
        <v/>
      </c>
      <c r="AW273" t="str">
        <f t="shared" si="315"/>
        <v>06</v>
      </c>
      <c r="AX273" t="str">
        <f t="shared" si="316"/>
        <v>計画</v>
      </c>
      <c r="AY273" t="str">
        <f t="shared" si="317"/>
        <v>02</v>
      </c>
      <c r="AZ273" t="str">
        <f t="shared" si="318"/>
        <v>計画・２社</v>
      </c>
      <c r="BA273" t="str">
        <f>""</f>
        <v/>
      </c>
      <c r="BB273" t="str">
        <f t="shared" si="294"/>
        <v>ＴＰ１３１フタナシ</v>
      </c>
      <c r="BC273" t="str">
        <f t="shared" si="295"/>
        <v xml:space="preserve"> 335.000</v>
      </c>
      <c r="BD273" t="str">
        <f t="shared" si="296"/>
        <v xml:space="preserve"> 168.000</v>
      </c>
      <c r="BE273" t="str">
        <f t="shared" si="297"/>
        <v xml:space="preserve"> 103.000</v>
      </c>
      <c r="BF273" t="str">
        <f t="shared" si="298"/>
        <v xml:space="preserve">   0.006</v>
      </c>
      <c r="BG273" t="str">
        <f t="shared" si="311"/>
        <v xml:space="preserve">   6.500</v>
      </c>
      <c r="BH273" t="str">
        <f t="shared" si="283"/>
        <v>しない</v>
      </c>
      <c r="BI273" t="str">
        <f>""</f>
        <v/>
      </c>
      <c r="BJ273" t="str">
        <f t="shared" si="282"/>
        <v>MASTER01</v>
      </c>
      <c r="BK273" t="str">
        <f t="shared" si="286"/>
        <v>2022/04/19</v>
      </c>
      <c r="BL273" t="str">
        <f t="shared" si="309"/>
        <v>NE00</v>
      </c>
      <c r="BM273" t="str">
        <f t="shared" si="310"/>
        <v>１工工務Ｇ</v>
      </c>
      <c r="BN273" t="str">
        <f t="shared" si="319"/>
        <v>46548</v>
      </c>
      <c r="BO273" t="str">
        <f t="shared" si="320"/>
        <v>長畑　玲奈</v>
      </c>
    </row>
    <row r="274" spans="1:67">
      <c r="A274" t="s">
        <v>356</v>
      </c>
      <c r="B274" t="str">
        <f>""</f>
        <v/>
      </c>
      <c r="C274" t="str">
        <f>""</f>
        <v/>
      </c>
      <c r="D274" t="str">
        <f t="shared" si="312"/>
        <v>SHIM</v>
      </c>
      <c r="E274" t="str">
        <f t="shared" si="299"/>
        <v>1Y</v>
      </c>
      <c r="F274" t="str">
        <f t="shared" si="300"/>
        <v>第１工場</v>
      </c>
      <c r="G274" t="str">
        <f t="shared" si="301"/>
        <v>手配</v>
      </c>
      <c r="H274" t="str">
        <f t="shared" si="302"/>
        <v>Ｐ</v>
      </c>
      <c r="I274" t="str">
        <f t="shared" si="287"/>
        <v>6454</v>
      </c>
      <c r="J274" t="str">
        <f t="shared" si="288"/>
        <v>（株）ムロコーポレーション</v>
      </c>
      <c r="K274" t="str">
        <f t="shared" si="285"/>
        <v>01</v>
      </c>
      <c r="L274" t="str">
        <f>""</f>
        <v/>
      </c>
      <c r="M274" t="str">
        <f t="shared" si="284"/>
        <v>――</v>
      </c>
      <c r="N274" t="str">
        <f t="shared" si="284"/>
        <v>――</v>
      </c>
      <c r="O274" t="str">
        <f t="shared" si="303"/>
        <v>Ｍ</v>
      </c>
      <c r="P274" t="str">
        <f t="shared" si="304"/>
        <v>01</v>
      </c>
      <c r="Q274" t="str">
        <f t="shared" si="305"/>
        <v>第１</v>
      </c>
      <c r="R274" t="str">
        <f t="shared" si="306"/>
        <v>1Y</v>
      </c>
      <c r="S274" t="str">
        <f t="shared" si="307"/>
        <v>安城第１工場</v>
      </c>
      <c r="T274" t="str">
        <f t="shared" si="308"/>
        <v>直接</v>
      </c>
      <c r="U274" t="str">
        <f>""</f>
        <v/>
      </c>
      <c r="V274" t="str">
        <f>""</f>
        <v/>
      </c>
      <c r="W274" t="str">
        <f>""</f>
        <v/>
      </c>
      <c r="X274">
        <v>1</v>
      </c>
      <c r="Y274">
        <v>1</v>
      </c>
      <c r="Z274">
        <v>0.73</v>
      </c>
      <c r="AA274">
        <v>0.93</v>
      </c>
      <c r="AB274">
        <v>3</v>
      </c>
      <c r="AC274">
        <v>0.93</v>
      </c>
      <c r="AD274">
        <v>0.93</v>
      </c>
      <c r="AE274">
        <v>1.1000000000000001</v>
      </c>
      <c r="AF274">
        <v>0.5</v>
      </c>
      <c r="AG274" t="str">
        <f t="shared" si="289"/>
        <v>205</v>
      </c>
      <c r="AH274" t="str">
        <f t="shared" si="290"/>
        <v>（株）ムロコーポレーション</v>
      </c>
      <c r="AI274" t="str">
        <f>"121"</f>
        <v>121</v>
      </c>
      <c r="AJ274" t="str">
        <f>"S-SM-3-38"</f>
        <v>S-SM-3-38</v>
      </c>
      <c r="AK274" t="str">
        <f>"10166"</f>
        <v>10166</v>
      </c>
      <c r="AL274" t="str">
        <f t="shared" si="313"/>
        <v>0370</v>
      </c>
      <c r="AM274" t="str">
        <f t="shared" si="314"/>
        <v>ｼﾑ</v>
      </c>
      <c r="AN274" t="str">
        <f t="shared" si="291"/>
        <v>012</v>
      </c>
      <c r="AO274" t="str">
        <f t="shared" si="292"/>
        <v>TP-131 ﾊﾝﾖｳ</v>
      </c>
      <c r="AP274">
        <v>100</v>
      </c>
      <c r="AQ274" t="str">
        <f>""</f>
        <v/>
      </c>
      <c r="AR274" t="str">
        <f>""</f>
        <v/>
      </c>
      <c r="AS274" t="str">
        <f>""</f>
        <v/>
      </c>
      <c r="AT274" t="str">
        <f t="shared" si="293"/>
        <v>00</v>
      </c>
      <c r="AU274">
        <v>0.5</v>
      </c>
      <c r="AV274" t="str">
        <f>""</f>
        <v/>
      </c>
      <c r="AW274" t="str">
        <f t="shared" si="315"/>
        <v>06</v>
      </c>
      <c r="AX274" t="str">
        <f t="shared" si="316"/>
        <v>計画</v>
      </c>
      <c r="AY274" t="str">
        <f t="shared" si="317"/>
        <v>02</v>
      </c>
      <c r="AZ274" t="str">
        <f t="shared" si="318"/>
        <v>計画・２社</v>
      </c>
      <c r="BA274" t="str">
        <f>""</f>
        <v/>
      </c>
      <c r="BB274" t="str">
        <f t="shared" si="294"/>
        <v>ＴＰ１３１フタナシ</v>
      </c>
      <c r="BC274" t="str">
        <f t="shared" si="295"/>
        <v xml:space="preserve"> 335.000</v>
      </c>
      <c r="BD274" t="str">
        <f t="shared" si="296"/>
        <v xml:space="preserve"> 168.000</v>
      </c>
      <c r="BE274" t="str">
        <f t="shared" si="297"/>
        <v xml:space="preserve"> 103.000</v>
      </c>
      <c r="BF274" t="str">
        <f t="shared" si="298"/>
        <v xml:space="preserve">   0.006</v>
      </c>
      <c r="BG274" t="str">
        <f t="shared" si="311"/>
        <v xml:space="preserve">   6.500</v>
      </c>
      <c r="BH274" t="str">
        <f t="shared" si="283"/>
        <v>しない</v>
      </c>
      <c r="BI274" t="str">
        <f>""</f>
        <v/>
      </c>
      <c r="BJ274" t="str">
        <f t="shared" si="282"/>
        <v>MASTER01</v>
      </c>
      <c r="BK274" t="str">
        <f t="shared" si="286"/>
        <v>2022/04/19</v>
      </c>
      <c r="BL274" t="str">
        <f t="shared" si="309"/>
        <v>NE00</v>
      </c>
      <c r="BM274" t="str">
        <f t="shared" si="310"/>
        <v>１工工務Ｇ</v>
      </c>
      <c r="BN274" t="str">
        <f t="shared" si="319"/>
        <v>46548</v>
      </c>
      <c r="BO274" t="str">
        <f t="shared" si="320"/>
        <v>長畑　玲奈</v>
      </c>
    </row>
    <row r="275" spans="1:67">
      <c r="A275" t="s">
        <v>357</v>
      </c>
      <c r="B275" t="str">
        <f>""</f>
        <v/>
      </c>
      <c r="C275" t="str">
        <f>""</f>
        <v/>
      </c>
      <c r="D275" t="str">
        <f t="shared" si="312"/>
        <v>SHIM</v>
      </c>
      <c r="E275" t="str">
        <f t="shared" si="299"/>
        <v>1Y</v>
      </c>
      <c r="F275" t="str">
        <f t="shared" si="300"/>
        <v>第１工場</v>
      </c>
      <c r="G275" t="str">
        <f t="shared" si="301"/>
        <v>手配</v>
      </c>
      <c r="H275" t="str">
        <f t="shared" si="302"/>
        <v>Ｐ</v>
      </c>
      <c r="I275" t="str">
        <f t="shared" si="287"/>
        <v>6454</v>
      </c>
      <c r="J275" t="str">
        <f t="shared" si="288"/>
        <v>（株）ムロコーポレーション</v>
      </c>
      <c r="K275" t="str">
        <f t="shared" si="285"/>
        <v>01</v>
      </c>
      <c r="L275" t="str">
        <f>""</f>
        <v/>
      </c>
      <c r="M275" t="str">
        <f t="shared" si="284"/>
        <v>――</v>
      </c>
      <c r="N275" t="str">
        <f t="shared" si="284"/>
        <v>――</v>
      </c>
      <c r="O275" t="str">
        <f t="shared" si="303"/>
        <v>Ｍ</v>
      </c>
      <c r="P275" t="str">
        <f t="shared" si="304"/>
        <v>01</v>
      </c>
      <c r="Q275" t="str">
        <f t="shared" si="305"/>
        <v>第１</v>
      </c>
      <c r="R275" t="str">
        <f t="shared" si="306"/>
        <v>1Y</v>
      </c>
      <c r="S275" t="str">
        <f t="shared" si="307"/>
        <v>安城第１工場</v>
      </c>
      <c r="T275" t="str">
        <f t="shared" si="308"/>
        <v>直接</v>
      </c>
      <c r="U275" t="str">
        <f>""</f>
        <v/>
      </c>
      <c r="V275" t="str">
        <f>""</f>
        <v/>
      </c>
      <c r="W275" t="str">
        <f>""</f>
        <v/>
      </c>
      <c r="X275">
        <v>1</v>
      </c>
      <c r="Y275">
        <v>1</v>
      </c>
      <c r="Z275">
        <v>0.73</v>
      </c>
      <c r="AA275">
        <v>0.93</v>
      </c>
      <c r="AB275">
        <v>3</v>
      </c>
      <c r="AC275">
        <v>0.93</v>
      </c>
      <c r="AD275">
        <v>0.93</v>
      </c>
      <c r="AE275">
        <v>1.1000000000000001</v>
      </c>
      <c r="AF275">
        <v>0.5</v>
      </c>
      <c r="AG275" t="str">
        <f t="shared" si="289"/>
        <v>205</v>
      </c>
      <c r="AH275" t="str">
        <f t="shared" si="290"/>
        <v>（株）ムロコーポレーション</v>
      </c>
      <c r="AI275" t="str">
        <f>"122"</f>
        <v>122</v>
      </c>
      <c r="AJ275" t="str">
        <f>"S-SM-3-39"</f>
        <v>S-SM-3-39</v>
      </c>
      <c r="AK275" t="str">
        <f>"10167"</f>
        <v>10167</v>
      </c>
      <c r="AL275" t="str">
        <f t="shared" si="313"/>
        <v>0370</v>
      </c>
      <c r="AM275" t="str">
        <f t="shared" si="314"/>
        <v>ｼﾑ</v>
      </c>
      <c r="AN275" t="str">
        <f t="shared" si="291"/>
        <v>012</v>
      </c>
      <c r="AO275" t="str">
        <f t="shared" si="292"/>
        <v>TP-131 ﾊﾝﾖｳ</v>
      </c>
      <c r="AP275">
        <v>100</v>
      </c>
      <c r="AQ275" t="str">
        <f>""</f>
        <v/>
      </c>
      <c r="AR275" t="str">
        <f>""</f>
        <v/>
      </c>
      <c r="AS275" t="str">
        <f>""</f>
        <v/>
      </c>
      <c r="AT275" t="str">
        <f t="shared" si="293"/>
        <v>00</v>
      </c>
      <c r="AU275">
        <v>0.5</v>
      </c>
      <c r="AV275" t="str">
        <f>""</f>
        <v/>
      </c>
      <c r="AW275" t="str">
        <f t="shared" si="315"/>
        <v>06</v>
      </c>
      <c r="AX275" t="str">
        <f t="shared" si="316"/>
        <v>計画</v>
      </c>
      <c r="AY275" t="str">
        <f t="shared" si="317"/>
        <v>02</v>
      </c>
      <c r="AZ275" t="str">
        <f t="shared" si="318"/>
        <v>計画・２社</v>
      </c>
      <c r="BA275" t="str">
        <f>""</f>
        <v/>
      </c>
      <c r="BB275" t="str">
        <f t="shared" si="294"/>
        <v>ＴＰ１３１フタナシ</v>
      </c>
      <c r="BC275" t="str">
        <f t="shared" si="295"/>
        <v xml:space="preserve"> 335.000</v>
      </c>
      <c r="BD275" t="str">
        <f t="shared" si="296"/>
        <v xml:space="preserve"> 168.000</v>
      </c>
      <c r="BE275" t="str">
        <f t="shared" si="297"/>
        <v xml:space="preserve"> 103.000</v>
      </c>
      <c r="BF275" t="str">
        <f t="shared" si="298"/>
        <v xml:space="preserve">   0.006</v>
      </c>
      <c r="BG275" t="str">
        <f t="shared" si="311"/>
        <v xml:space="preserve">   6.500</v>
      </c>
      <c r="BH275" t="str">
        <f t="shared" si="283"/>
        <v>しない</v>
      </c>
      <c r="BI275" t="str">
        <f>""</f>
        <v/>
      </c>
      <c r="BJ275" t="str">
        <f t="shared" ref="BJ275:BJ338" si="321">"MASTER01"</f>
        <v>MASTER01</v>
      </c>
      <c r="BK275" t="str">
        <f t="shared" si="286"/>
        <v>2022/04/19</v>
      </c>
      <c r="BL275" t="str">
        <f t="shared" si="309"/>
        <v>NE00</v>
      </c>
      <c r="BM275" t="str">
        <f t="shared" si="310"/>
        <v>１工工務Ｇ</v>
      </c>
      <c r="BN275" t="str">
        <f t="shared" si="319"/>
        <v>46548</v>
      </c>
      <c r="BO275" t="str">
        <f t="shared" si="320"/>
        <v>長畑　玲奈</v>
      </c>
    </row>
    <row r="276" spans="1:67">
      <c r="A276" t="s">
        <v>358</v>
      </c>
      <c r="B276" t="str">
        <f>""</f>
        <v/>
      </c>
      <c r="C276" t="str">
        <f>""</f>
        <v/>
      </c>
      <c r="D276" t="str">
        <f t="shared" si="312"/>
        <v>SHIM</v>
      </c>
      <c r="E276" t="str">
        <f t="shared" si="299"/>
        <v>1Y</v>
      </c>
      <c r="F276" t="str">
        <f t="shared" si="300"/>
        <v>第１工場</v>
      </c>
      <c r="G276" t="str">
        <f t="shared" si="301"/>
        <v>手配</v>
      </c>
      <c r="H276" t="str">
        <f t="shared" si="302"/>
        <v>Ｐ</v>
      </c>
      <c r="I276" t="str">
        <f t="shared" si="287"/>
        <v>6454</v>
      </c>
      <c r="J276" t="str">
        <f t="shared" si="288"/>
        <v>（株）ムロコーポレーション</v>
      </c>
      <c r="K276" t="str">
        <f t="shared" si="285"/>
        <v>01</v>
      </c>
      <c r="L276" t="str">
        <f>""</f>
        <v/>
      </c>
      <c r="M276" t="str">
        <f t="shared" si="284"/>
        <v>――</v>
      </c>
      <c r="N276" t="str">
        <f t="shared" si="284"/>
        <v>――</v>
      </c>
      <c r="O276" t="str">
        <f t="shared" si="303"/>
        <v>Ｍ</v>
      </c>
      <c r="P276" t="str">
        <f t="shared" si="304"/>
        <v>01</v>
      </c>
      <c r="Q276" t="str">
        <f t="shared" si="305"/>
        <v>第１</v>
      </c>
      <c r="R276" t="str">
        <f t="shared" si="306"/>
        <v>1Y</v>
      </c>
      <c r="S276" t="str">
        <f t="shared" si="307"/>
        <v>安城第１工場</v>
      </c>
      <c r="T276" t="str">
        <f t="shared" si="308"/>
        <v>直接</v>
      </c>
      <c r="U276" t="str">
        <f>""</f>
        <v/>
      </c>
      <c r="V276" t="str">
        <f>""</f>
        <v/>
      </c>
      <c r="W276" t="str">
        <f>""</f>
        <v/>
      </c>
      <c r="X276">
        <v>1</v>
      </c>
      <c r="Y276">
        <v>1</v>
      </c>
      <c r="Z276">
        <v>0.73</v>
      </c>
      <c r="AA276">
        <v>0.93</v>
      </c>
      <c r="AB276">
        <v>3</v>
      </c>
      <c r="AC276">
        <v>0.93</v>
      </c>
      <c r="AD276">
        <v>0.93</v>
      </c>
      <c r="AE276">
        <v>1.1000000000000001</v>
      </c>
      <c r="AF276">
        <v>0.5</v>
      </c>
      <c r="AG276" t="str">
        <f t="shared" si="289"/>
        <v>205</v>
      </c>
      <c r="AH276" t="str">
        <f t="shared" si="290"/>
        <v>（株）ムロコーポレーション</v>
      </c>
      <c r="AI276" t="str">
        <f>"123"</f>
        <v>123</v>
      </c>
      <c r="AJ276" t="str">
        <f>"S-SM-3-40"</f>
        <v>S-SM-3-40</v>
      </c>
      <c r="AK276" t="str">
        <f>"10168"</f>
        <v>10168</v>
      </c>
      <c r="AL276" t="str">
        <f t="shared" si="313"/>
        <v>0370</v>
      </c>
      <c r="AM276" t="str">
        <f t="shared" si="314"/>
        <v>ｼﾑ</v>
      </c>
      <c r="AN276" t="str">
        <f t="shared" si="291"/>
        <v>012</v>
      </c>
      <c r="AO276" t="str">
        <f t="shared" si="292"/>
        <v>TP-131 ﾊﾝﾖｳ</v>
      </c>
      <c r="AP276">
        <v>100</v>
      </c>
      <c r="AQ276" t="str">
        <f>""</f>
        <v/>
      </c>
      <c r="AR276" t="str">
        <f>""</f>
        <v/>
      </c>
      <c r="AS276" t="str">
        <f>""</f>
        <v/>
      </c>
      <c r="AT276" t="str">
        <f t="shared" si="293"/>
        <v>00</v>
      </c>
      <c r="AU276">
        <v>0.5</v>
      </c>
      <c r="AV276" t="str">
        <f>""</f>
        <v/>
      </c>
      <c r="AW276" t="str">
        <f t="shared" si="315"/>
        <v>06</v>
      </c>
      <c r="AX276" t="str">
        <f t="shared" si="316"/>
        <v>計画</v>
      </c>
      <c r="AY276" t="str">
        <f t="shared" si="317"/>
        <v>02</v>
      </c>
      <c r="AZ276" t="str">
        <f t="shared" si="318"/>
        <v>計画・２社</v>
      </c>
      <c r="BA276" t="str">
        <f>""</f>
        <v/>
      </c>
      <c r="BB276" t="str">
        <f t="shared" si="294"/>
        <v>ＴＰ１３１フタナシ</v>
      </c>
      <c r="BC276" t="str">
        <f t="shared" si="295"/>
        <v xml:space="preserve"> 335.000</v>
      </c>
      <c r="BD276" t="str">
        <f t="shared" si="296"/>
        <v xml:space="preserve"> 168.000</v>
      </c>
      <c r="BE276" t="str">
        <f t="shared" si="297"/>
        <v xml:space="preserve"> 103.000</v>
      </c>
      <c r="BF276" t="str">
        <f t="shared" si="298"/>
        <v xml:space="preserve">   0.006</v>
      </c>
      <c r="BG276" t="str">
        <f t="shared" si="311"/>
        <v xml:space="preserve">   6.500</v>
      </c>
      <c r="BH276" t="str">
        <f t="shared" si="283"/>
        <v>しない</v>
      </c>
      <c r="BI276" t="str">
        <f>""</f>
        <v/>
      </c>
      <c r="BJ276" t="str">
        <f t="shared" si="321"/>
        <v>MASTER01</v>
      </c>
      <c r="BK276" t="str">
        <f t="shared" si="286"/>
        <v>2022/04/19</v>
      </c>
      <c r="BL276" t="str">
        <f t="shared" si="309"/>
        <v>NE00</v>
      </c>
      <c r="BM276" t="str">
        <f t="shared" si="310"/>
        <v>１工工務Ｇ</v>
      </c>
      <c r="BN276" t="str">
        <f t="shared" si="319"/>
        <v>46548</v>
      </c>
      <c r="BO276" t="str">
        <f t="shared" si="320"/>
        <v>長畑　玲奈</v>
      </c>
    </row>
    <row r="277" spans="1:67">
      <c r="A277" t="s">
        <v>359</v>
      </c>
      <c r="B277" t="str">
        <f>""</f>
        <v/>
      </c>
      <c r="C277" t="str">
        <f>""</f>
        <v/>
      </c>
      <c r="D277" t="str">
        <f t="shared" si="312"/>
        <v>SHIM</v>
      </c>
      <c r="E277" t="str">
        <f t="shared" si="299"/>
        <v>1Y</v>
      </c>
      <c r="F277" t="str">
        <f t="shared" si="300"/>
        <v>第１工場</v>
      </c>
      <c r="G277" t="str">
        <f t="shared" si="301"/>
        <v>手配</v>
      </c>
      <c r="H277" t="str">
        <f t="shared" si="302"/>
        <v>Ｐ</v>
      </c>
      <c r="I277" t="str">
        <f t="shared" si="287"/>
        <v>6454</v>
      </c>
      <c r="J277" t="str">
        <f t="shared" si="288"/>
        <v>（株）ムロコーポレーション</v>
      </c>
      <c r="K277" t="str">
        <f t="shared" si="285"/>
        <v>01</v>
      </c>
      <c r="L277" t="str">
        <f>""</f>
        <v/>
      </c>
      <c r="M277" t="str">
        <f t="shared" si="284"/>
        <v>――</v>
      </c>
      <c r="N277" t="str">
        <f t="shared" si="284"/>
        <v>――</v>
      </c>
      <c r="O277" t="str">
        <f t="shared" si="303"/>
        <v>Ｍ</v>
      </c>
      <c r="P277" t="str">
        <f t="shared" si="304"/>
        <v>01</v>
      </c>
      <c r="Q277" t="str">
        <f t="shared" si="305"/>
        <v>第１</v>
      </c>
      <c r="R277" t="str">
        <f t="shared" si="306"/>
        <v>1Y</v>
      </c>
      <c r="S277" t="str">
        <f t="shared" si="307"/>
        <v>安城第１工場</v>
      </c>
      <c r="T277" t="str">
        <f t="shared" si="308"/>
        <v>直接</v>
      </c>
      <c r="U277" t="str">
        <f>""</f>
        <v/>
      </c>
      <c r="V277" t="str">
        <f>""</f>
        <v/>
      </c>
      <c r="W277" t="str">
        <f>""</f>
        <v/>
      </c>
      <c r="X277">
        <v>1</v>
      </c>
      <c r="Y277">
        <v>1</v>
      </c>
      <c r="Z277">
        <v>0.73</v>
      </c>
      <c r="AA277">
        <v>0.93</v>
      </c>
      <c r="AB277">
        <v>3</v>
      </c>
      <c r="AC277">
        <v>0.93</v>
      </c>
      <c r="AD277">
        <v>0.93</v>
      </c>
      <c r="AE277">
        <v>1.1000000000000001</v>
      </c>
      <c r="AF277">
        <v>0.5</v>
      </c>
      <c r="AG277" t="str">
        <f t="shared" si="289"/>
        <v>205</v>
      </c>
      <c r="AH277" t="str">
        <f t="shared" si="290"/>
        <v>（株）ムロコーポレーション</v>
      </c>
      <c r="AI277" t="str">
        <f>"124"</f>
        <v>124</v>
      </c>
      <c r="AJ277" t="str">
        <f>"S-SM-3-41"</f>
        <v>S-SM-3-41</v>
      </c>
      <c r="AK277" t="str">
        <f>"10169"</f>
        <v>10169</v>
      </c>
      <c r="AL277" t="str">
        <f t="shared" si="313"/>
        <v>0370</v>
      </c>
      <c r="AM277" t="str">
        <f t="shared" si="314"/>
        <v>ｼﾑ</v>
      </c>
      <c r="AN277" t="str">
        <f t="shared" si="291"/>
        <v>012</v>
      </c>
      <c r="AO277" t="str">
        <f t="shared" si="292"/>
        <v>TP-131 ﾊﾝﾖｳ</v>
      </c>
      <c r="AP277">
        <v>100</v>
      </c>
      <c r="AQ277" t="str">
        <f>""</f>
        <v/>
      </c>
      <c r="AR277" t="str">
        <f>""</f>
        <v/>
      </c>
      <c r="AS277" t="str">
        <f>""</f>
        <v/>
      </c>
      <c r="AT277" t="str">
        <f t="shared" si="293"/>
        <v>00</v>
      </c>
      <c r="AU277">
        <v>0.5</v>
      </c>
      <c r="AV277" t="str">
        <f>""</f>
        <v/>
      </c>
      <c r="AW277" t="str">
        <f t="shared" si="315"/>
        <v>06</v>
      </c>
      <c r="AX277" t="str">
        <f t="shared" si="316"/>
        <v>計画</v>
      </c>
      <c r="AY277" t="str">
        <f t="shared" si="317"/>
        <v>02</v>
      </c>
      <c r="AZ277" t="str">
        <f t="shared" si="318"/>
        <v>計画・２社</v>
      </c>
      <c r="BA277" t="str">
        <f>""</f>
        <v/>
      </c>
      <c r="BB277" t="str">
        <f t="shared" si="294"/>
        <v>ＴＰ１３１フタナシ</v>
      </c>
      <c r="BC277" t="str">
        <f t="shared" si="295"/>
        <v xml:space="preserve"> 335.000</v>
      </c>
      <c r="BD277" t="str">
        <f t="shared" si="296"/>
        <v xml:space="preserve"> 168.000</v>
      </c>
      <c r="BE277" t="str">
        <f t="shared" si="297"/>
        <v xml:space="preserve"> 103.000</v>
      </c>
      <c r="BF277" t="str">
        <f t="shared" si="298"/>
        <v xml:space="preserve">   0.006</v>
      </c>
      <c r="BG277" t="str">
        <f t="shared" si="311"/>
        <v xml:space="preserve">   6.500</v>
      </c>
      <c r="BH277" t="str">
        <f t="shared" si="283"/>
        <v>しない</v>
      </c>
      <c r="BI277" t="str">
        <f>""</f>
        <v/>
      </c>
      <c r="BJ277" t="str">
        <f t="shared" si="321"/>
        <v>MASTER01</v>
      </c>
      <c r="BK277" t="str">
        <f t="shared" si="286"/>
        <v>2022/04/19</v>
      </c>
      <c r="BL277" t="str">
        <f t="shared" si="309"/>
        <v>NE00</v>
      </c>
      <c r="BM277" t="str">
        <f t="shared" si="310"/>
        <v>１工工務Ｇ</v>
      </c>
      <c r="BN277" t="str">
        <f t="shared" si="319"/>
        <v>46548</v>
      </c>
      <c r="BO277" t="str">
        <f t="shared" si="320"/>
        <v>長畑　玲奈</v>
      </c>
    </row>
    <row r="278" spans="1:67">
      <c r="A278" t="s">
        <v>360</v>
      </c>
      <c r="B278" t="str">
        <f>""</f>
        <v/>
      </c>
      <c r="C278" t="str">
        <f>""</f>
        <v/>
      </c>
      <c r="D278" t="str">
        <f t="shared" si="312"/>
        <v>SHIM</v>
      </c>
      <c r="E278" t="str">
        <f t="shared" si="299"/>
        <v>1Y</v>
      </c>
      <c r="F278" t="str">
        <f t="shared" si="300"/>
        <v>第１工場</v>
      </c>
      <c r="G278" t="str">
        <f t="shared" si="301"/>
        <v>手配</v>
      </c>
      <c r="H278" t="str">
        <f t="shared" si="302"/>
        <v>Ｐ</v>
      </c>
      <c r="I278" t="str">
        <f t="shared" si="287"/>
        <v>6454</v>
      </c>
      <c r="J278" t="str">
        <f t="shared" si="288"/>
        <v>（株）ムロコーポレーション</v>
      </c>
      <c r="K278" t="str">
        <f t="shared" si="285"/>
        <v>01</v>
      </c>
      <c r="L278" t="str">
        <f>""</f>
        <v/>
      </c>
      <c r="M278" t="str">
        <f t="shared" si="284"/>
        <v>――</v>
      </c>
      <c r="N278" t="str">
        <f t="shared" si="284"/>
        <v>――</v>
      </c>
      <c r="O278" t="str">
        <f t="shared" si="303"/>
        <v>Ｍ</v>
      </c>
      <c r="P278" t="str">
        <f t="shared" si="304"/>
        <v>01</v>
      </c>
      <c r="Q278" t="str">
        <f t="shared" si="305"/>
        <v>第１</v>
      </c>
      <c r="R278" t="str">
        <f t="shared" si="306"/>
        <v>1Y</v>
      </c>
      <c r="S278" t="str">
        <f t="shared" si="307"/>
        <v>安城第１工場</v>
      </c>
      <c r="T278" t="str">
        <f t="shared" si="308"/>
        <v>直接</v>
      </c>
      <c r="U278" t="str">
        <f>""</f>
        <v/>
      </c>
      <c r="V278" t="str">
        <f>""</f>
        <v/>
      </c>
      <c r="W278" t="str">
        <f>""</f>
        <v/>
      </c>
      <c r="X278">
        <v>1</v>
      </c>
      <c r="Y278">
        <v>1</v>
      </c>
      <c r="Z278">
        <v>0.73</v>
      </c>
      <c r="AA278">
        <v>0.93</v>
      </c>
      <c r="AB278">
        <v>3</v>
      </c>
      <c r="AC278">
        <v>0.93</v>
      </c>
      <c r="AD278">
        <v>0.93</v>
      </c>
      <c r="AE278">
        <v>1.1000000000000001</v>
      </c>
      <c r="AF278">
        <v>0.5</v>
      </c>
      <c r="AG278" t="str">
        <f t="shared" si="289"/>
        <v>205</v>
      </c>
      <c r="AH278" t="str">
        <f t="shared" si="290"/>
        <v>（株）ムロコーポレーション</v>
      </c>
      <c r="AI278" t="str">
        <f>"125"</f>
        <v>125</v>
      </c>
      <c r="AJ278" t="str">
        <f>"S-SM-3-42"</f>
        <v>S-SM-3-42</v>
      </c>
      <c r="AK278" t="str">
        <f>"10170"</f>
        <v>10170</v>
      </c>
      <c r="AL278" t="str">
        <f t="shared" si="313"/>
        <v>0370</v>
      </c>
      <c r="AM278" t="str">
        <f t="shared" si="314"/>
        <v>ｼﾑ</v>
      </c>
      <c r="AN278" t="str">
        <f t="shared" si="291"/>
        <v>012</v>
      </c>
      <c r="AO278" t="str">
        <f t="shared" si="292"/>
        <v>TP-131 ﾊﾝﾖｳ</v>
      </c>
      <c r="AP278">
        <v>100</v>
      </c>
      <c r="AQ278" t="str">
        <f>""</f>
        <v/>
      </c>
      <c r="AR278" t="str">
        <f>""</f>
        <v/>
      </c>
      <c r="AS278" t="str">
        <f>""</f>
        <v/>
      </c>
      <c r="AT278" t="str">
        <f t="shared" si="293"/>
        <v>00</v>
      </c>
      <c r="AU278">
        <v>0.5</v>
      </c>
      <c r="AV278" t="str">
        <f>""</f>
        <v/>
      </c>
      <c r="AW278" t="str">
        <f t="shared" si="315"/>
        <v>06</v>
      </c>
      <c r="AX278" t="str">
        <f t="shared" si="316"/>
        <v>計画</v>
      </c>
      <c r="AY278" t="str">
        <f t="shared" si="317"/>
        <v>02</v>
      </c>
      <c r="AZ278" t="str">
        <f t="shared" si="318"/>
        <v>計画・２社</v>
      </c>
      <c r="BA278" t="str">
        <f>""</f>
        <v/>
      </c>
      <c r="BB278" t="str">
        <f t="shared" si="294"/>
        <v>ＴＰ１３１フタナシ</v>
      </c>
      <c r="BC278" t="str">
        <f t="shared" si="295"/>
        <v xml:space="preserve"> 335.000</v>
      </c>
      <c r="BD278" t="str">
        <f t="shared" si="296"/>
        <v xml:space="preserve"> 168.000</v>
      </c>
      <c r="BE278" t="str">
        <f t="shared" si="297"/>
        <v xml:space="preserve"> 103.000</v>
      </c>
      <c r="BF278" t="str">
        <f t="shared" si="298"/>
        <v xml:space="preserve">   0.006</v>
      </c>
      <c r="BG278" t="str">
        <f t="shared" ref="BG278:BG286" si="322">"   4.680"</f>
        <v xml:space="preserve">   4.680</v>
      </c>
      <c r="BH278" t="str">
        <f t="shared" si="283"/>
        <v>しない</v>
      </c>
      <c r="BI278" t="str">
        <f>""</f>
        <v/>
      </c>
      <c r="BJ278" t="str">
        <f t="shared" si="321"/>
        <v>MASTER01</v>
      </c>
      <c r="BK278" t="str">
        <f t="shared" si="286"/>
        <v>2022/04/19</v>
      </c>
      <c r="BL278" t="str">
        <f t="shared" si="309"/>
        <v>NE00</v>
      </c>
      <c r="BM278" t="str">
        <f t="shared" si="310"/>
        <v>１工工務Ｇ</v>
      </c>
      <c r="BN278" t="str">
        <f t="shared" si="319"/>
        <v>46548</v>
      </c>
      <c r="BO278" t="str">
        <f t="shared" si="320"/>
        <v>長畑　玲奈</v>
      </c>
    </row>
    <row r="279" spans="1:67">
      <c r="A279" t="s">
        <v>361</v>
      </c>
      <c r="B279" t="str">
        <f>""</f>
        <v/>
      </c>
      <c r="C279" t="str">
        <f>""</f>
        <v/>
      </c>
      <c r="D279" t="str">
        <f t="shared" si="312"/>
        <v>SHIM</v>
      </c>
      <c r="E279" t="str">
        <f t="shared" si="299"/>
        <v>1Y</v>
      </c>
      <c r="F279" t="str">
        <f t="shared" si="300"/>
        <v>第１工場</v>
      </c>
      <c r="G279" t="str">
        <f t="shared" si="301"/>
        <v>手配</v>
      </c>
      <c r="H279" t="str">
        <f t="shared" si="302"/>
        <v>Ｐ</v>
      </c>
      <c r="I279" t="str">
        <f t="shared" si="287"/>
        <v>6454</v>
      </c>
      <c r="J279" t="str">
        <f t="shared" si="288"/>
        <v>（株）ムロコーポレーション</v>
      </c>
      <c r="K279" t="str">
        <f t="shared" si="285"/>
        <v>01</v>
      </c>
      <c r="L279" t="str">
        <f>""</f>
        <v/>
      </c>
      <c r="M279" t="str">
        <f t="shared" si="284"/>
        <v>――</v>
      </c>
      <c r="N279" t="str">
        <f t="shared" si="284"/>
        <v>――</v>
      </c>
      <c r="O279" t="str">
        <f t="shared" si="303"/>
        <v>Ｍ</v>
      </c>
      <c r="P279" t="str">
        <f t="shared" si="304"/>
        <v>01</v>
      </c>
      <c r="Q279" t="str">
        <f t="shared" si="305"/>
        <v>第１</v>
      </c>
      <c r="R279" t="str">
        <f t="shared" si="306"/>
        <v>1Y</v>
      </c>
      <c r="S279" t="str">
        <f t="shared" si="307"/>
        <v>安城第１工場</v>
      </c>
      <c r="T279" t="str">
        <f t="shared" si="308"/>
        <v>直接</v>
      </c>
      <c r="U279" t="str">
        <f>""</f>
        <v/>
      </c>
      <c r="V279" t="str">
        <f>""</f>
        <v/>
      </c>
      <c r="W279" t="str">
        <f>""</f>
        <v/>
      </c>
      <c r="X279">
        <v>1</v>
      </c>
      <c r="Y279">
        <v>1</v>
      </c>
      <c r="Z279">
        <v>0.73</v>
      </c>
      <c r="AA279">
        <v>0.93</v>
      </c>
      <c r="AB279">
        <v>3</v>
      </c>
      <c r="AC279">
        <v>0.93</v>
      </c>
      <c r="AD279">
        <v>0.93</v>
      </c>
      <c r="AE279">
        <v>1.1000000000000001</v>
      </c>
      <c r="AF279">
        <v>0.5</v>
      </c>
      <c r="AG279" t="str">
        <f t="shared" si="289"/>
        <v>205</v>
      </c>
      <c r="AH279" t="str">
        <f t="shared" si="290"/>
        <v>（株）ムロコーポレーション</v>
      </c>
      <c r="AI279" t="str">
        <f>"126"</f>
        <v>126</v>
      </c>
      <c r="AJ279" t="str">
        <f>"S-SM-3-43"</f>
        <v>S-SM-3-43</v>
      </c>
      <c r="AK279" t="str">
        <f>"10171"</f>
        <v>10171</v>
      </c>
      <c r="AL279" t="str">
        <f t="shared" si="313"/>
        <v>0370</v>
      </c>
      <c r="AM279" t="str">
        <f t="shared" si="314"/>
        <v>ｼﾑ</v>
      </c>
      <c r="AN279" t="str">
        <f t="shared" si="291"/>
        <v>012</v>
      </c>
      <c r="AO279" t="str">
        <f t="shared" si="292"/>
        <v>TP-131 ﾊﾝﾖｳ</v>
      </c>
      <c r="AP279">
        <v>100</v>
      </c>
      <c r="AQ279" t="str">
        <f>""</f>
        <v/>
      </c>
      <c r="AR279" t="str">
        <f>""</f>
        <v/>
      </c>
      <c r="AS279" t="str">
        <f>""</f>
        <v/>
      </c>
      <c r="AT279" t="str">
        <f t="shared" si="293"/>
        <v>00</v>
      </c>
      <c r="AU279">
        <v>0.5</v>
      </c>
      <c r="AV279" t="str">
        <f>""</f>
        <v/>
      </c>
      <c r="AW279" t="str">
        <f t="shared" si="315"/>
        <v>06</v>
      </c>
      <c r="AX279" t="str">
        <f t="shared" si="316"/>
        <v>計画</v>
      </c>
      <c r="AY279" t="str">
        <f t="shared" si="317"/>
        <v>02</v>
      </c>
      <c r="AZ279" t="str">
        <f t="shared" si="318"/>
        <v>計画・２社</v>
      </c>
      <c r="BA279" t="str">
        <f>""</f>
        <v/>
      </c>
      <c r="BB279" t="str">
        <f t="shared" si="294"/>
        <v>ＴＰ１３１フタナシ</v>
      </c>
      <c r="BC279" t="str">
        <f t="shared" si="295"/>
        <v xml:space="preserve"> 335.000</v>
      </c>
      <c r="BD279" t="str">
        <f t="shared" si="296"/>
        <v xml:space="preserve"> 168.000</v>
      </c>
      <c r="BE279" t="str">
        <f t="shared" si="297"/>
        <v xml:space="preserve"> 103.000</v>
      </c>
      <c r="BF279" t="str">
        <f t="shared" si="298"/>
        <v xml:space="preserve">   0.006</v>
      </c>
      <c r="BG279" t="str">
        <f t="shared" si="322"/>
        <v xml:space="preserve">   4.680</v>
      </c>
      <c r="BH279" t="str">
        <f t="shared" si="283"/>
        <v>しない</v>
      </c>
      <c r="BI279" t="str">
        <f>""</f>
        <v/>
      </c>
      <c r="BJ279" t="str">
        <f t="shared" si="321"/>
        <v>MASTER01</v>
      </c>
      <c r="BK279" t="str">
        <f t="shared" si="286"/>
        <v>2022/04/19</v>
      </c>
      <c r="BL279" t="str">
        <f t="shared" si="309"/>
        <v>NE00</v>
      </c>
      <c r="BM279" t="str">
        <f t="shared" si="310"/>
        <v>１工工務Ｇ</v>
      </c>
      <c r="BN279" t="str">
        <f t="shared" si="319"/>
        <v>46548</v>
      </c>
      <c r="BO279" t="str">
        <f t="shared" si="320"/>
        <v>長畑　玲奈</v>
      </c>
    </row>
    <row r="280" spans="1:67">
      <c r="A280" t="s">
        <v>362</v>
      </c>
      <c r="B280" t="str">
        <f>""</f>
        <v/>
      </c>
      <c r="C280" t="str">
        <f>""</f>
        <v/>
      </c>
      <c r="D280" t="str">
        <f t="shared" si="312"/>
        <v>SHIM</v>
      </c>
      <c r="E280" t="str">
        <f t="shared" si="299"/>
        <v>1Y</v>
      </c>
      <c r="F280" t="str">
        <f t="shared" si="300"/>
        <v>第１工場</v>
      </c>
      <c r="G280" t="str">
        <f t="shared" si="301"/>
        <v>手配</v>
      </c>
      <c r="H280" t="str">
        <f t="shared" si="302"/>
        <v>Ｐ</v>
      </c>
      <c r="I280" t="str">
        <f t="shared" si="287"/>
        <v>6454</v>
      </c>
      <c r="J280" t="str">
        <f t="shared" si="288"/>
        <v>（株）ムロコーポレーション</v>
      </c>
      <c r="K280" t="str">
        <f t="shared" si="285"/>
        <v>01</v>
      </c>
      <c r="L280" t="str">
        <f>""</f>
        <v/>
      </c>
      <c r="M280" t="str">
        <f t="shared" si="284"/>
        <v>――</v>
      </c>
      <c r="N280" t="str">
        <f t="shared" si="284"/>
        <v>――</v>
      </c>
      <c r="O280" t="str">
        <f t="shared" si="303"/>
        <v>Ｍ</v>
      </c>
      <c r="P280" t="str">
        <f t="shared" si="304"/>
        <v>01</v>
      </c>
      <c r="Q280" t="str">
        <f t="shared" si="305"/>
        <v>第１</v>
      </c>
      <c r="R280" t="str">
        <f t="shared" si="306"/>
        <v>1Y</v>
      </c>
      <c r="S280" t="str">
        <f t="shared" si="307"/>
        <v>安城第１工場</v>
      </c>
      <c r="T280" t="str">
        <f t="shared" si="308"/>
        <v>直接</v>
      </c>
      <c r="U280" t="str">
        <f>""</f>
        <v/>
      </c>
      <c r="V280" t="str">
        <f>""</f>
        <v/>
      </c>
      <c r="W280" t="str">
        <f>""</f>
        <v/>
      </c>
      <c r="X280">
        <v>1</v>
      </c>
      <c r="Y280">
        <v>1</v>
      </c>
      <c r="Z280">
        <v>0.73</v>
      </c>
      <c r="AA280">
        <v>0.93</v>
      </c>
      <c r="AB280">
        <v>3</v>
      </c>
      <c r="AC280">
        <v>0.93</v>
      </c>
      <c r="AD280">
        <v>0.93</v>
      </c>
      <c r="AE280">
        <v>1.1000000000000001</v>
      </c>
      <c r="AF280">
        <v>0.5</v>
      </c>
      <c r="AG280" t="str">
        <f t="shared" si="289"/>
        <v>205</v>
      </c>
      <c r="AH280" t="str">
        <f t="shared" si="290"/>
        <v>（株）ムロコーポレーション</v>
      </c>
      <c r="AI280" t="str">
        <f>"127"</f>
        <v>127</v>
      </c>
      <c r="AJ280" t="str">
        <f>"S-SM-3-44"</f>
        <v>S-SM-3-44</v>
      </c>
      <c r="AK280" t="str">
        <f>"10172"</f>
        <v>10172</v>
      </c>
      <c r="AL280" t="str">
        <f t="shared" si="313"/>
        <v>0370</v>
      </c>
      <c r="AM280" t="str">
        <f t="shared" si="314"/>
        <v>ｼﾑ</v>
      </c>
      <c r="AN280" t="str">
        <f t="shared" si="291"/>
        <v>012</v>
      </c>
      <c r="AO280" t="str">
        <f t="shared" si="292"/>
        <v>TP-131 ﾊﾝﾖｳ</v>
      </c>
      <c r="AP280">
        <v>100</v>
      </c>
      <c r="AQ280" t="str">
        <f>""</f>
        <v/>
      </c>
      <c r="AR280" t="str">
        <f>""</f>
        <v/>
      </c>
      <c r="AS280" t="str">
        <f>""</f>
        <v/>
      </c>
      <c r="AT280" t="str">
        <f t="shared" si="293"/>
        <v>00</v>
      </c>
      <c r="AU280">
        <v>0.5</v>
      </c>
      <c r="AV280" t="str">
        <f>""</f>
        <v/>
      </c>
      <c r="AW280" t="str">
        <f t="shared" si="315"/>
        <v>06</v>
      </c>
      <c r="AX280" t="str">
        <f t="shared" si="316"/>
        <v>計画</v>
      </c>
      <c r="AY280" t="str">
        <f t="shared" si="317"/>
        <v>02</v>
      </c>
      <c r="AZ280" t="str">
        <f t="shared" si="318"/>
        <v>計画・２社</v>
      </c>
      <c r="BA280" t="str">
        <f>""</f>
        <v/>
      </c>
      <c r="BB280" t="str">
        <f t="shared" si="294"/>
        <v>ＴＰ１３１フタナシ</v>
      </c>
      <c r="BC280" t="str">
        <f t="shared" si="295"/>
        <v xml:space="preserve"> 335.000</v>
      </c>
      <c r="BD280" t="str">
        <f t="shared" si="296"/>
        <v xml:space="preserve"> 168.000</v>
      </c>
      <c r="BE280" t="str">
        <f t="shared" si="297"/>
        <v xml:space="preserve"> 103.000</v>
      </c>
      <c r="BF280" t="str">
        <f t="shared" si="298"/>
        <v xml:space="preserve">   0.006</v>
      </c>
      <c r="BG280" t="str">
        <f t="shared" si="322"/>
        <v xml:space="preserve">   4.680</v>
      </c>
      <c r="BH280" t="str">
        <f t="shared" si="283"/>
        <v>しない</v>
      </c>
      <c r="BI280" t="str">
        <f>""</f>
        <v/>
      </c>
      <c r="BJ280" t="str">
        <f t="shared" si="321"/>
        <v>MASTER01</v>
      </c>
      <c r="BK280" t="str">
        <f t="shared" si="286"/>
        <v>2022/04/19</v>
      </c>
      <c r="BL280" t="str">
        <f t="shared" si="309"/>
        <v>NE00</v>
      </c>
      <c r="BM280" t="str">
        <f t="shared" si="310"/>
        <v>１工工務Ｇ</v>
      </c>
      <c r="BN280" t="str">
        <f t="shared" si="319"/>
        <v>46548</v>
      </c>
      <c r="BO280" t="str">
        <f t="shared" si="320"/>
        <v>長畑　玲奈</v>
      </c>
    </row>
    <row r="281" spans="1:67">
      <c r="A281" t="s">
        <v>363</v>
      </c>
      <c r="B281" t="str">
        <f>""</f>
        <v/>
      </c>
      <c r="C281" t="str">
        <f>""</f>
        <v/>
      </c>
      <c r="D281" t="str">
        <f t="shared" si="312"/>
        <v>SHIM</v>
      </c>
      <c r="E281" t="str">
        <f t="shared" si="299"/>
        <v>1Y</v>
      </c>
      <c r="F281" t="str">
        <f t="shared" si="300"/>
        <v>第１工場</v>
      </c>
      <c r="G281" t="str">
        <f t="shared" si="301"/>
        <v>手配</v>
      </c>
      <c r="H281" t="str">
        <f t="shared" si="302"/>
        <v>Ｐ</v>
      </c>
      <c r="I281" t="str">
        <f t="shared" si="287"/>
        <v>6454</v>
      </c>
      <c r="J281" t="str">
        <f t="shared" si="288"/>
        <v>（株）ムロコーポレーション</v>
      </c>
      <c r="K281" t="str">
        <f t="shared" si="285"/>
        <v>01</v>
      </c>
      <c r="L281" t="str">
        <f>""</f>
        <v/>
      </c>
      <c r="M281" t="str">
        <f t="shared" si="284"/>
        <v>――</v>
      </c>
      <c r="N281" t="str">
        <f t="shared" si="284"/>
        <v>――</v>
      </c>
      <c r="O281" t="str">
        <f t="shared" si="303"/>
        <v>Ｍ</v>
      </c>
      <c r="P281" t="str">
        <f t="shared" si="304"/>
        <v>01</v>
      </c>
      <c r="Q281" t="str">
        <f t="shared" si="305"/>
        <v>第１</v>
      </c>
      <c r="R281" t="str">
        <f t="shared" si="306"/>
        <v>1Y</v>
      </c>
      <c r="S281" t="str">
        <f t="shared" si="307"/>
        <v>安城第１工場</v>
      </c>
      <c r="T281" t="str">
        <f t="shared" si="308"/>
        <v>直接</v>
      </c>
      <c r="U281" t="str">
        <f>""</f>
        <v/>
      </c>
      <c r="V281" t="str">
        <f>""</f>
        <v/>
      </c>
      <c r="W281" t="str">
        <f>""</f>
        <v/>
      </c>
      <c r="X281">
        <v>1</v>
      </c>
      <c r="Y281">
        <v>1</v>
      </c>
      <c r="Z281">
        <v>0.73</v>
      </c>
      <c r="AA281">
        <v>0.93</v>
      </c>
      <c r="AB281">
        <v>3</v>
      </c>
      <c r="AC281">
        <v>0.93</v>
      </c>
      <c r="AD281">
        <v>0.93</v>
      </c>
      <c r="AE281">
        <v>1.1000000000000001</v>
      </c>
      <c r="AF281">
        <v>0.5</v>
      </c>
      <c r="AG281" t="str">
        <f t="shared" si="289"/>
        <v>205</v>
      </c>
      <c r="AH281" t="str">
        <f t="shared" si="290"/>
        <v>（株）ムロコーポレーション</v>
      </c>
      <c r="AI281" t="str">
        <f>"128"</f>
        <v>128</v>
      </c>
      <c r="AJ281" t="str">
        <f>"S-SM-3-45"</f>
        <v>S-SM-3-45</v>
      </c>
      <c r="AK281" t="str">
        <f>"10173"</f>
        <v>10173</v>
      </c>
      <c r="AL281" t="str">
        <f t="shared" si="313"/>
        <v>0370</v>
      </c>
      <c r="AM281" t="str">
        <f t="shared" si="314"/>
        <v>ｼﾑ</v>
      </c>
      <c r="AN281" t="str">
        <f t="shared" si="291"/>
        <v>012</v>
      </c>
      <c r="AO281" t="str">
        <f t="shared" si="292"/>
        <v>TP-131 ﾊﾝﾖｳ</v>
      </c>
      <c r="AP281">
        <v>100</v>
      </c>
      <c r="AQ281" t="str">
        <f>""</f>
        <v/>
      </c>
      <c r="AR281" t="str">
        <f>""</f>
        <v/>
      </c>
      <c r="AS281" t="str">
        <f>""</f>
        <v/>
      </c>
      <c r="AT281" t="str">
        <f t="shared" si="293"/>
        <v>00</v>
      </c>
      <c r="AU281">
        <v>0.5</v>
      </c>
      <c r="AV281" t="str">
        <f>""</f>
        <v/>
      </c>
      <c r="AW281" t="str">
        <f t="shared" si="315"/>
        <v>06</v>
      </c>
      <c r="AX281" t="str">
        <f t="shared" si="316"/>
        <v>計画</v>
      </c>
      <c r="AY281" t="str">
        <f t="shared" si="317"/>
        <v>02</v>
      </c>
      <c r="AZ281" t="str">
        <f t="shared" si="318"/>
        <v>計画・２社</v>
      </c>
      <c r="BA281" t="str">
        <f>""</f>
        <v/>
      </c>
      <c r="BB281" t="str">
        <f t="shared" si="294"/>
        <v>ＴＰ１３１フタナシ</v>
      </c>
      <c r="BC281" t="str">
        <f t="shared" si="295"/>
        <v xml:space="preserve"> 335.000</v>
      </c>
      <c r="BD281" t="str">
        <f t="shared" si="296"/>
        <v xml:space="preserve"> 168.000</v>
      </c>
      <c r="BE281" t="str">
        <f t="shared" si="297"/>
        <v xml:space="preserve"> 103.000</v>
      </c>
      <c r="BF281" t="str">
        <f t="shared" si="298"/>
        <v xml:space="preserve">   0.006</v>
      </c>
      <c r="BG281" t="str">
        <f t="shared" si="322"/>
        <v xml:space="preserve">   4.680</v>
      </c>
      <c r="BH281" t="str">
        <f t="shared" si="283"/>
        <v>しない</v>
      </c>
      <c r="BI281" t="str">
        <f>""</f>
        <v/>
      </c>
      <c r="BJ281" t="str">
        <f t="shared" si="321"/>
        <v>MASTER01</v>
      </c>
      <c r="BK281" t="str">
        <f t="shared" si="286"/>
        <v>2022/04/19</v>
      </c>
      <c r="BL281" t="str">
        <f t="shared" si="309"/>
        <v>NE00</v>
      </c>
      <c r="BM281" t="str">
        <f t="shared" si="310"/>
        <v>１工工務Ｇ</v>
      </c>
      <c r="BN281" t="str">
        <f t="shared" si="319"/>
        <v>46548</v>
      </c>
      <c r="BO281" t="str">
        <f t="shared" si="320"/>
        <v>長畑　玲奈</v>
      </c>
    </row>
    <row r="282" spans="1:67">
      <c r="A282" t="s">
        <v>364</v>
      </c>
      <c r="B282" t="str">
        <f>""</f>
        <v/>
      </c>
      <c r="C282" t="str">
        <f>""</f>
        <v/>
      </c>
      <c r="D282" t="str">
        <f t="shared" si="312"/>
        <v>SHIM</v>
      </c>
      <c r="E282" t="str">
        <f t="shared" si="299"/>
        <v>1Y</v>
      </c>
      <c r="F282" t="str">
        <f t="shared" si="300"/>
        <v>第１工場</v>
      </c>
      <c r="G282" t="str">
        <f t="shared" si="301"/>
        <v>手配</v>
      </c>
      <c r="H282" t="str">
        <f t="shared" si="302"/>
        <v>Ｐ</v>
      </c>
      <c r="I282" t="str">
        <f t="shared" si="287"/>
        <v>6454</v>
      </c>
      <c r="J282" t="str">
        <f t="shared" si="288"/>
        <v>（株）ムロコーポレーション</v>
      </c>
      <c r="K282" t="str">
        <f t="shared" si="285"/>
        <v>01</v>
      </c>
      <c r="L282" t="str">
        <f>""</f>
        <v/>
      </c>
      <c r="M282" t="str">
        <f t="shared" si="284"/>
        <v>――</v>
      </c>
      <c r="N282" t="str">
        <f t="shared" si="284"/>
        <v>――</v>
      </c>
      <c r="O282" t="str">
        <f t="shared" si="303"/>
        <v>Ｍ</v>
      </c>
      <c r="P282" t="str">
        <f t="shared" si="304"/>
        <v>01</v>
      </c>
      <c r="Q282" t="str">
        <f t="shared" si="305"/>
        <v>第１</v>
      </c>
      <c r="R282" t="str">
        <f t="shared" si="306"/>
        <v>1Y</v>
      </c>
      <c r="S282" t="str">
        <f t="shared" si="307"/>
        <v>安城第１工場</v>
      </c>
      <c r="T282" t="str">
        <f t="shared" si="308"/>
        <v>直接</v>
      </c>
      <c r="U282" t="str">
        <f>""</f>
        <v/>
      </c>
      <c r="V282" t="str">
        <f>""</f>
        <v/>
      </c>
      <c r="W282" t="str">
        <f>""</f>
        <v/>
      </c>
      <c r="X282">
        <v>1</v>
      </c>
      <c r="Y282">
        <v>1</v>
      </c>
      <c r="Z282">
        <v>0.73</v>
      </c>
      <c r="AA282">
        <v>0.93</v>
      </c>
      <c r="AB282">
        <v>3</v>
      </c>
      <c r="AC282">
        <v>0.93</v>
      </c>
      <c r="AD282">
        <v>0.93</v>
      </c>
      <c r="AE282">
        <v>1.1000000000000001</v>
      </c>
      <c r="AF282">
        <v>0.5</v>
      </c>
      <c r="AG282" t="str">
        <f t="shared" si="289"/>
        <v>205</v>
      </c>
      <c r="AH282" t="str">
        <f t="shared" si="290"/>
        <v>（株）ムロコーポレーション</v>
      </c>
      <c r="AI282" t="str">
        <f>"129"</f>
        <v>129</v>
      </c>
      <c r="AJ282" t="str">
        <f>"S-SM-3-46"</f>
        <v>S-SM-3-46</v>
      </c>
      <c r="AK282" t="str">
        <f>"10174"</f>
        <v>10174</v>
      </c>
      <c r="AL282" t="str">
        <f t="shared" si="313"/>
        <v>0370</v>
      </c>
      <c r="AM282" t="str">
        <f t="shared" si="314"/>
        <v>ｼﾑ</v>
      </c>
      <c r="AN282" t="str">
        <f t="shared" si="291"/>
        <v>012</v>
      </c>
      <c r="AO282" t="str">
        <f t="shared" si="292"/>
        <v>TP-131 ﾊﾝﾖｳ</v>
      </c>
      <c r="AP282">
        <v>100</v>
      </c>
      <c r="AQ282" t="str">
        <f>""</f>
        <v/>
      </c>
      <c r="AR282" t="str">
        <f>""</f>
        <v/>
      </c>
      <c r="AS282" t="str">
        <f>""</f>
        <v/>
      </c>
      <c r="AT282" t="str">
        <f t="shared" si="293"/>
        <v>00</v>
      </c>
      <c r="AU282">
        <v>0.5</v>
      </c>
      <c r="AV282" t="str">
        <f>""</f>
        <v/>
      </c>
      <c r="AW282" t="str">
        <f t="shared" si="315"/>
        <v>06</v>
      </c>
      <c r="AX282" t="str">
        <f t="shared" si="316"/>
        <v>計画</v>
      </c>
      <c r="AY282" t="str">
        <f t="shared" si="317"/>
        <v>02</v>
      </c>
      <c r="AZ282" t="str">
        <f t="shared" si="318"/>
        <v>計画・２社</v>
      </c>
      <c r="BA282" t="str">
        <f>""</f>
        <v/>
      </c>
      <c r="BB282" t="str">
        <f t="shared" si="294"/>
        <v>ＴＰ１３１フタナシ</v>
      </c>
      <c r="BC282" t="str">
        <f t="shared" si="295"/>
        <v xml:space="preserve"> 335.000</v>
      </c>
      <c r="BD282" t="str">
        <f t="shared" si="296"/>
        <v xml:space="preserve"> 168.000</v>
      </c>
      <c r="BE282" t="str">
        <f t="shared" si="297"/>
        <v xml:space="preserve"> 103.000</v>
      </c>
      <c r="BF282" t="str">
        <f t="shared" si="298"/>
        <v xml:space="preserve">   0.006</v>
      </c>
      <c r="BG282" t="str">
        <f t="shared" si="322"/>
        <v xml:space="preserve">   4.680</v>
      </c>
      <c r="BH282" t="str">
        <f t="shared" si="283"/>
        <v>しない</v>
      </c>
      <c r="BI282" t="str">
        <f>""</f>
        <v/>
      </c>
      <c r="BJ282" t="str">
        <f t="shared" si="321"/>
        <v>MASTER01</v>
      </c>
      <c r="BK282" t="str">
        <f t="shared" si="286"/>
        <v>2022/04/19</v>
      </c>
      <c r="BL282" t="str">
        <f t="shared" si="309"/>
        <v>NE00</v>
      </c>
      <c r="BM282" t="str">
        <f t="shared" si="310"/>
        <v>１工工務Ｇ</v>
      </c>
      <c r="BN282" t="str">
        <f t="shared" si="319"/>
        <v>46548</v>
      </c>
      <c r="BO282" t="str">
        <f t="shared" si="320"/>
        <v>長畑　玲奈</v>
      </c>
    </row>
    <row r="283" spans="1:67">
      <c r="A283" t="s">
        <v>365</v>
      </c>
      <c r="B283" t="str">
        <f>""</f>
        <v/>
      </c>
      <c r="C283" t="str">
        <f>""</f>
        <v/>
      </c>
      <c r="D283" t="str">
        <f t="shared" si="312"/>
        <v>SHIM</v>
      </c>
      <c r="E283" t="str">
        <f t="shared" si="299"/>
        <v>1Y</v>
      </c>
      <c r="F283" t="str">
        <f t="shared" si="300"/>
        <v>第１工場</v>
      </c>
      <c r="G283" t="str">
        <f t="shared" si="301"/>
        <v>手配</v>
      </c>
      <c r="H283" t="str">
        <f t="shared" si="302"/>
        <v>Ｐ</v>
      </c>
      <c r="I283" t="str">
        <f t="shared" si="287"/>
        <v>6454</v>
      </c>
      <c r="J283" t="str">
        <f t="shared" si="288"/>
        <v>（株）ムロコーポレーション</v>
      </c>
      <c r="K283" t="str">
        <f t="shared" si="285"/>
        <v>01</v>
      </c>
      <c r="L283" t="str">
        <f>""</f>
        <v/>
      </c>
      <c r="M283" t="str">
        <f t="shared" si="284"/>
        <v>――</v>
      </c>
      <c r="N283" t="str">
        <f t="shared" si="284"/>
        <v>――</v>
      </c>
      <c r="O283" t="str">
        <f t="shared" si="303"/>
        <v>Ｍ</v>
      </c>
      <c r="P283" t="str">
        <f t="shared" si="304"/>
        <v>01</v>
      </c>
      <c r="Q283" t="str">
        <f t="shared" si="305"/>
        <v>第１</v>
      </c>
      <c r="R283" t="str">
        <f t="shared" si="306"/>
        <v>1Y</v>
      </c>
      <c r="S283" t="str">
        <f t="shared" si="307"/>
        <v>安城第１工場</v>
      </c>
      <c r="T283" t="str">
        <f t="shared" si="308"/>
        <v>直接</v>
      </c>
      <c r="U283" t="str">
        <f>""</f>
        <v/>
      </c>
      <c r="V283" t="str">
        <f>""</f>
        <v/>
      </c>
      <c r="W283" t="str">
        <f>""</f>
        <v/>
      </c>
      <c r="X283">
        <v>1</v>
      </c>
      <c r="Y283">
        <v>1</v>
      </c>
      <c r="Z283">
        <v>0.73</v>
      </c>
      <c r="AA283">
        <v>0.93</v>
      </c>
      <c r="AB283">
        <v>3</v>
      </c>
      <c r="AC283">
        <v>0.93</v>
      </c>
      <c r="AD283">
        <v>0.93</v>
      </c>
      <c r="AE283">
        <v>1.1000000000000001</v>
      </c>
      <c r="AF283">
        <v>0.5</v>
      </c>
      <c r="AG283" t="str">
        <f t="shared" si="289"/>
        <v>205</v>
      </c>
      <c r="AH283" t="str">
        <f t="shared" si="290"/>
        <v>（株）ムロコーポレーション</v>
      </c>
      <c r="AI283" t="str">
        <f>"130"</f>
        <v>130</v>
      </c>
      <c r="AJ283" t="str">
        <f>"S-SM-1-20"</f>
        <v>S-SM-1-20</v>
      </c>
      <c r="AK283" t="str">
        <f>"10175"</f>
        <v>10175</v>
      </c>
      <c r="AL283" t="str">
        <f t="shared" si="313"/>
        <v>0370</v>
      </c>
      <c r="AM283" t="str">
        <f t="shared" si="314"/>
        <v>ｼﾑ</v>
      </c>
      <c r="AN283" t="str">
        <f t="shared" si="291"/>
        <v>012</v>
      </c>
      <c r="AO283" t="str">
        <f t="shared" si="292"/>
        <v>TP-131 ﾊﾝﾖｳ</v>
      </c>
      <c r="AP283">
        <v>100</v>
      </c>
      <c r="AQ283" t="str">
        <f>""</f>
        <v/>
      </c>
      <c r="AR283" t="str">
        <f>""</f>
        <v/>
      </c>
      <c r="AS283" t="str">
        <f>""</f>
        <v/>
      </c>
      <c r="AT283" t="str">
        <f t="shared" si="293"/>
        <v>00</v>
      </c>
      <c r="AU283">
        <v>0.5</v>
      </c>
      <c r="AV283" t="str">
        <f>""</f>
        <v/>
      </c>
      <c r="AW283" t="str">
        <f t="shared" si="315"/>
        <v>06</v>
      </c>
      <c r="AX283" t="str">
        <f t="shared" si="316"/>
        <v>計画</v>
      </c>
      <c r="AY283" t="str">
        <f t="shared" si="317"/>
        <v>02</v>
      </c>
      <c r="AZ283" t="str">
        <f t="shared" si="318"/>
        <v>計画・２社</v>
      </c>
      <c r="BA283" t="str">
        <f>""</f>
        <v/>
      </c>
      <c r="BB283" t="str">
        <f t="shared" si="294"/>
        <v>ＴＰ１３１フタナシ</v>
      </c>
      <c r="BC283" t="str">
        <f t="shared" si="295"/>
        <v xml:space="preserve"> 335.000</v>
      </c>
      <c r="BD283" t="str">
        <f t="shared" si="296"/>
        <v xml:space="preserve"> 168.000</v>
      </c>
      <c r="BE283" t="str">
        <f t="shared" si="297"/>
        <v xml:space="preserve"> 103.000</v>
      </c>
      <c r="BF283" t="str">
        <f t="shared" si="298"/>
        <v xml:space="preserve">   0.006</v>
      </c>
      <c r="BG283" t="str">
        <f t="shared" si="322"/>
        <v xml:space="preserve">   4.680</v>
      </c>
      <c r="BH283" t="str">
        <f t="shared" si="283"/>
        <v>しない</v>
      </c>
      <c r="BI283" t="str">
        <f>""</f>
        <v/>
      </c>
      <c r="BJ283" t="str">
        <f t="shared" si="321"/>
        <v>MASTER01</v>
      </c>
      <c r="BK283" t="str">
        <f t="shared" si="286"/>
        <v>2022/04/19</v>
      </c>
      <c r="BL283" t="str">
        <f t="shared" si="309"/>
        <v>NE00</v>
      </c>
      <c r="BM283" t="str">
        <f t="shared" si="310"/>
        <v>１工工務Ｇ</v>
      </c>
      <c r="BN283" t="str">
        <f t="shared" si="319"/>
        <v>46548</v>
      </c>
      <c r="BO283" t="str">
        <f t="shared" si="320"/>
        <v>長畑　玲奈</v>
      </c>
    </row>
    <row r="284" spans="1:67">
      <c r="A284" t="s">
        <v>366</v>
      </c>
      <c r="B284" t="str">
        <f>""</f>
        <v/>
      </c>
      <c r="C284" t="str">
        <f>""</f>
        <v/>
      </c>
      <c r="D284" t="str">
        <f t="shared" si="312"/>
        <v>SHIM</v>
      </c>
      <c r="E284" t="str">
        <f t="shared" si="299"/>
        <v>1Y</v>
      </c>
      <c r="F284" t="str">
        <f t="shared" si="300"/>
        <v>第１工場</v>
      </c>
      <c r="G284" t="str">
        <f t="shared" si="301"/>
        <v>手配</v>
      </c>
      <c r="H284" t="str">
        <f t="shared" si="302"/>
        <v>Ｐ</v>
      </c>
      <c r="I284" t="str">
        <f t="shared" si="287"/>
        <v>6454</v>
      </c>
      <c r="J284" t="str">
        <f t="shared" si="288"/>
        <v>（株）ムロコーポレーション</v>
      </c>
      <c r="K284" t="str">
        <f t="shared" si="285"/>
        <v>01</v>
      </c>
      <c r="L284" t="str">
        <f>""</f>
        <v/>
      </c>
      <c r="M284" t="str">
        <f t="shared" si="284"/>
        <v>――</v>
      </c>
      <c r="N284" t="str">
        <f t="shared" si="284"/>
        <v>――</v>
      </c>
      <c r="O284" t="str">
        <f t="shared" si="303"/>
        <v>Ｍ</v>
      </c>
      <c r="P284" t="str">
        <f t="shared" si="304"/>
        <v>01</v>
      </c>
      <c r="Q284" t="str">
        <f t="shared" si="305"/>
        <v>第１</v>
      </c>
      <c r="R284" t="str">
        <f t="shared" si="306"/>
        <v>1Y</v>
      </c>
      <c r="S284" t="str">
        <f t="shared" si="307"/>
        <v>安城第１工場</v>
      </c>
      <c r="T284" t="str">
        <f t="shared" si="308"/>
        <v>直接</v>
      </c>
      <c r="U284" t="str">
        <f>""</f>
        <v/>
      </c>
      <c r="V284" t="str">
        <f>""</f>
        <v/>
      </c>
      <c r="W284" t="str">
        <f>""</f>
        <v/>
      </c>
      <c r="X284">
        <v>1</v>
      </c>
      <c r="Y284">
        <v>1</v>
      </c>
      <c r="Z284">
        <v>0.73</v>
      </c>
      <c r="AA284">
        <v>0.93</v>
      </c>
      <c r="AB284">
        <v>3</v>
      </c>
      <c r="AC284">
        <v>0.93</v>
      </c>
      <c r="AD284">
        <v>0.93</v>
      </c>
      <c r="AE284">
        <v>1.1000000000000001</v>
      </c>
      <c r="AF284">
        <v>0.5</v>
      </c>
      <c r="AG284" t="str">
        <f t="shared" si="289"/>
        <v>205</v>
      </c>
      <c r="AH284" t="str">
        <f t="shared" si="290"/>
        <v>（株）ムロコーポレーション</v>
      </c>
      <c r="AI284" t="str">
        <f>"131"</f>
        <v>131</v>
      </c>
      <c r="AJ284" t="str">
        <f>"S-SM-1-21"</f>
        <v>S-SM-1-21</v>
      </c>
      <c r="AK284" t="str">
        <f>"10176"</f>
        <v>10176</v>
      </c>
      <c r="AL284" t="str">
        <f t="shared" si="313"/>
        <v>0370</v>
      </c>
      <c r="AM284" t="str">
        <f t="shared" si="314"/>
        <v>ｼﾑ</v>
      </c>
      <c r="AN284" t="str">
        <f t="shared" si="291"/>
        <v>012</v>
      </c>
      <c r="AO284" t="str">
        <f t="shared" si="292"/>
        <v>TP-131 ﾊﾝﾖｳ</v>
      </c>
      <c r="AP284">
        <v>100</v>
      </c>
      <c r="AQ284" t="str">
        <f>""</f>
        <v/>
      </c>
      <c r="AR284" t="str">
        <f>""</f>
        <v/>
      </c>
      <c r="AS284" t="str">
        <f>""</f>
        <v/>
      </c>
      <c r="AT284" t="str">
        <f t="shared" si="293"/>
        <v>00</v>
      </c>
      <c r="AU284">
        <v>0.5</v>
      </c>
      <c r="AV284" t="str">
        <f>""</f>
        <v/>
      </c>
      <c r="AW284" t="str">
        <f t="shared" si="315"/>
        <v>06</v>
      </c>
      <c r="AX284" t="str">
        <f t="shared" si="316"/>
        <v>計画</v>
      </c>
      <c r="AY284" t="str">
        <f t="shared" si="317"/>
        <v>02</v>
      </c>
      <c r="AZ284" t="str">
        <f t="shared" si="318"/>
        <v>計画・２社</v>
      </c>
      <c r="BA284" t="str">
        <f>""</f>
        <v/>
      </c>
      <c r="BB284" t="str">
        <f t="shared" si="294"/>
        <v>ＴＰ１３１フタナシ</v>
      </c>
      <c r="BC284" t="str">
        <f t="shared" si="295"/>
        <v xml:space="preserve"> 335.000</v>
      </c>
      <c r="BD284" t="str">
        <f t="shared" si="296"/>
        <v xml:space="preserve"> 168.000</v>
      </c>
      <c r="BE284" t="str">
        <f t="shared" si="297"/>
        <v xml:space="preserve"> 103.000</v>
      </c>
      <c r="BF284" t="str">
        <f t="shared" si="298"/>
        <v xml:space="preserve">   0.006</v>
      </c>
      <c r="BG284" t="str">
        <f t="shared" si="322"/>
        <v xml:space="preserve">   4.680</v>
      </c>
      <c r="BH284" t="str">
        <f t="shared" si="283"/>
        <v>しない</v>
      </c>
      <c r="BI284" t="str">
        <f>""</f>
        <v/>
      </c>
      <c r="BJ284" t="str">
        <f t="shared" si="321"/>
        <v>MASTER01</v>
      </c>
      <c r="BK284" t="str">
        <f t="shared" si="286"/>
        <v>2022/04/19</v>
      </c>
      <c r="BL284" t="str">
        <f t="shared" si="309"/>
        <v>NE00</v>
      </c>
      <c r="BM284" t="str">
        <f t="shared" si="310"/>
        <v>１工工務Ｇ</v>
      </c>
      <c r="BN284" t="str">
        <f t="shared" si="319"/>
        <v>46548</v>
      </c>
      <c r="BO284" t="str">
        <f t="shared" si="320"/>
        <v>長畑　玲奈</v>
      </c>
    </row>
    <row r="285" spans="1:67">
      <c r="A285" t="s">
        <v>367</v>
      </c>
      <c r="B285" t="str">
        <f>""</f>
        <v/>
      </c>
      <c r="C285" t="str">
        <f>""</f>
        <v/>
      </c>
      <c r="D285" t="str">
        <f t="shared" si="312"/>
        <v>SHIM</v>
      </c>
      <c r="E285" t="str">
        <f t="shared" si="299"/>
        <v>1Y</v>
      </c>
      <c r="F285" t="str">
        <f t="shared" si="300"/>
        <v>第１工場</v>
      </c>
      <c r="G285" t="str">
        <f t="shared" si="301"/>
        <v>手配</v>
      </c>
      <c r="H285" t="str">
        <f t="shared" si="302"/>
        <v>Ｐ</v>
      </c>
      <c r="I285" t="str">
        <f t="shared" si="287"/>
        <v>6454</v>
      </c>
      <c r="J285" t="str">
        <f t="shared" si="288"/>
        <v>（株）ムロコーポレーション</v>
      </c>
      <c r="K285" t="str">
        <f t="shared" si="285"/>
        <v>01</v>
      </c>
      <c r="L285" t="str">
        <f>""</f>
        <v/>
      </c>
      <c r="M285" t="str">
        <f t="shared" si="284"/>
        <v>――</v>
      </c>
      <c r="N285" t="str">
        <f t="shared" si="284"/>
        <v>――</v>
      </c>
      <c r="O285" t="str">
        <f t="shared" si="303"/>
        <v>Ｍ</v>
      </c>
      <c r="P285" t="str">
        <f t="shared" si="304"/>
        <v>01</v>
      </c>
      <c r="Q285" t="str">
        <f t="shared" si="305"/>
        <v>第１</v>
      </c>
      <c r="R285" t="str">
        <f t="shared" si="306"/>
        <v>1Y</v>
      </c>
      <c r="S285" t="str">
        <f t="shared" si="307"/>
        <v>安城第１工場</v>
      </c>
      <c r="T285" t="str">
        <f t="shared" si="308"/>
        <v>直接</v>
      </c>
      <c r="U285" t="str">
        <f>""</f>
        <v/>
      </c>
      <c r="V285" t="str">
        <f>""</f>
        <v/>
      </c>
      <c r="W285" t="str">
        <f>""</f>
        <v/>
      </c>
      <c r="X285">
        <v>1</v>
      </c>
      <c r="Y285">
        <v>1</v>
      </c>
      <c r="Z285">
        <v>0.73</v>
      </c>
      <c r="AA285">
        <v>0.93</v>
      </c>
      <c r="AB285">
        <v>3</v>
      </c>
      <c r="AC285">
        <v>0.93</v>
      </c>
      <c r="AD285">
        <v>0.93</v>
      </c>
      <c r="AE285">
        <v>1.1000000000000001</v>
      </c>
      <c r="AF285">
        <v>0.5</v>
      </c>
      <c r="AG285" t="str">
        <f t="shared" si="289"/>
        <v>205</v>
      </c>
      <c r="AH285" t="str">
        <f t="shared" si="290"/>
        <v>（株）ムロコーポレーション</v>
      </c>
      <c r="AI285" t="str">
        <f>"132"</f>
        <v>132</v>
      </c>
      <c r="AJ285" t="str">
        <f>"S-SM-1-22"</f>
        <v>S-SM-1-22</v>
      </c>
      <c r="AK285" t="str">
        <f>"10177"</f>
        <v>10177</v>
      </c>
      <c r="AL285" t="str">
        <f t="shared" si="313"/>
        <v>0370</v>
      </c>
      <c r="AM285" t="str">
        <f t="shared" si="314"/>
        <v>ｼﾑ</v>
      </c>
      <c r="AN285" t="str">
        <f t="shared" si="291"/>
        <v>012</v>
      </c>
      <c r="AO285" t="str">
        <f t="shared" si="292"/>
        <v>TP-131 ﾊﾝﾖｳ</v>
      </c>
      <c r="AP285">
        <v>100</v>
      </c>
      <c r="AQ285" t="str">
        <f>""</f>
        <v/>
      </c>
      <c r="AR285" t="str">
        <f>""</f>
        <v/>
      </c>
      <c r="AS285" t="str">
        <f>""</f>
        <v/>
      </c>
      <c r="AT285" t="str">
        <f t="shared" si="293"/>
        <v>00</v>
      </c>
      <c r="AU285">
        <v>0.5</v>
      </c>
      <c r="AV285" t="str">
        <f>""</f>
        <v/>
      </c>
      <c r="AW285" t="str">
        <f t="shared" si="315"/>
        <v>06</v>
      </c>
      <c r="AX285" t="str">
        <f t="shared" si="316"/>
        <v>計画</v>
      </c>
      <c r="AY285" t="str">
        <f t="shared" si="317"/>
        <v>02</v>
      </c>
      <c r="AZ285" t="str">
        <f t="shared" si="318"/>
        <v>計画・２社</v>
      </c>
      <c r="BA285" t="str">
        <f>""</f>
        <v/>
      </c>
      <c r="BB285" t="str">
        <f t="shared" si="294"/>
        <v>ＴＰ１３１フタナシ</v>
      </c>
      <c r="BC285" t="str">
        <f t="shared" si="295"/>
        <v xml:space="preserve"> 335.000</v>
      </c>
      <c r="BD285" t="str">
        <f t="shared" si="296"/>
        <v xml:space="preserve"> 168.000</v>
      </c>
      <c r="BE285" t="str">
        <f t="shared" si="297"/>
        <v xml:space="preserve"> 103.000</v>
      </c>
      <c r="BF285" t="str">
        <f t="shared" si="298"/>
        <v xml:space="preserve">   0.006</v>
      </c>
      <c r="BG285" t="str">
        <f t="shared" si="322"/>
        <v xml:space="preserve">   4.680</v>
      </c>
      <c r="BH285" t="str">
        <f t="shared" si="283"/>
        <v>しない</v>
      </c>
      <c r="BI285" t="str">
        <f>""</f>
        <v/>
      </c>
      <c r="BJ285" t="str">
        <f t="shared" si="321"/>
        <v>MASTER01</v>
      </c>
      <c r="BK285" t="str">
        <f t="shared" si="286"/>
        <v>2022/04/19</v>
      </c>
      <c r="BL285" t="str">
        <f t="shared" si="309"/>
        <v>NE00</v>
      </c>
      <c r="BM285" t="str">
        <f t="shared" si="310"/>
        <v>１工工務Ｇ</v>
      </c>
      <c r="BN285" t="str">
        <f t="shared" si="319"/>
        <v>46548</v>
      </c>
      <c r="BO285" t="str">
        <f t="shared" si="320"/>
        <v>長畑　玲奈</v>
      </c>
    </row>
    <row r="286" spans="1:67">
      <c r="A286" t="s">
        <v>368</v>
      </c>
      <c r="B286" t="str">
        <f>""</f>
        <v/>
      </c>
      <c r="C286" t="str">
        <f>""</f>
        <v/>
      </c>
      <c r="D286" t="str">
        <f t="shared" si="312"/>
        <v>SHIM</v>
      </c>
      <c r="E286" t="str">
        <f t="shared" si="299"/>
        <v>1Y</v>
      </c>
      <c r="F286" t="str">
        <f t="shared" si="300"/>
        <v>第１工場</v>
      </c>
      <c r="G286" t="str">
        <f t="shared" si="301"/>
        <v>手配</v>
      </c>
      <c r="H286" t="str">
        <f t="shared" si="302"/>
        <v>Ｐ</v>
      </c>
      <c r="I286" t="str">
        <f t="shared" si="287"/>
        <v>6454</v>
      </c>
      <c r="J286" t="str">
        <f t="shared" si="288"/>
        <v>（株）ムロコーポレーション</v>
      </c>
      <c r="K286" t="str">
        <f t="shared" si="285"/>
        <v>01</v>
      </c>
      <c r="L286" t="str">
        <f>""</f>
        <v/>
      </c>
      <c r="M286" t="str">
        <f t="shared" si="284"/>
        <v>――</v>
      </c>
      <c r="N286" t="str">
        <f t="shared" si="284"/>
        <v>――</v>
      </c>
      <c r="O286" t="str">
        <f t="shared" si="303"/>
        <v>Ｍ</v>
      </c>
      <c r="P286" t="str">
        <f t="shared" si="304"/>
        <v>01</v>
      </c>
      <c r="Q286" t="str">
        <f t="shared" si="305"/>
        <v>第１</v>
      </c>
      <c r="R286" t="str">
        <f t="shared" si="306"/>
        <v>1Y</v>
      </c>
      <c r="S286" t="str">
        <f t="shared" si="307"/>
        <v>安城第１工場</v>
      </c>
      <c r="T286" t="str">
        <f t="shared" si="308"/>
        <v>直接</v>
      </c>
      <c r="U286" t="str">
        <f>""</f>
        <v/>
      </c>
      <c r="V286" t="str">
        <f>""</f>
        <v/>
      </c>
      <c r="W286" t="str">
        <f>""</f>
        <v/>
      </c>
      <c r="X286">
        <v>1</v>
      </c>
      <c r="Y286">
        <v>1</v>
      </c>
      <c r="Z286">
        <v>0.73</v>
      </c>
      <c r="AA286">
        <v>0.93</v>
      </c>
      <c r="AB286">
        <v>3</v>
      </c>
      <c r="AC286">
        <v>0.93</v>
      </c>
      <c r="AD286">
        <v>0.93</v>
      </c>
      <c r="AE286">
        <v>1.1000000000000001</v>
      </c>
      <c r="AF286">
        <v>0.5</v>
      </c>
      <c r="AG286" t="str">
        <f t="shared" si="289"/>
        <v>205</v>
      </c>
      <c r="AH286" t="str">
        <f t="shared" si="290"/>
        <v>（株）ムロコーポレーション</v>
      </c>
      <c r="AI286" t="str">
        <f>"133"</f>
        <v>133</v>
      </c>
      <c r="AJ286" t="str">
        <f>"S-SM-1-23"</f>
        <v>S-SM-1-23</v>
      </c>
      <c r="AK286" t="str">
        <f>"10178"</f>
        <v>10178</v>
      </c>
      <c r="AL286" t="str">
        <f t="shared" si="313"/>
        <v>0370</v>
      </c>
      <c r="AM286" t="str">
        <f t="shared" si="314"/>
        <v>ｼﾑ</v>
      </c>
      <c r="AN286" t="str">
        <f t="shared" si="291"/>
        <v>012</v>
      </c>
      <c r="AO286" t="str">
        <f t="shared" si="292"/>
        <v>TP-131 ﾊﾝﾖｳ</v>
      </c>
      <c r="AP286">
        <v>100</v>
      </c>
      <c r="AQ286" t="str">
        <f>""</f>
        <v/>
      </c>
      <c r="AR286" t="str">
        <f>""</f>
        <v/>
      </c>
      <c r="AS286" t="str">
        <f>""</f>
        <v/>
      </c>
      <c r="AT286" t="str">
        <f t="shared" si="293"/>
        <v>00</v>
      </c>
      <c r="AU286">
        <v>0.5</v>
      </c>
      <c r="AV286" t="str">
        <f>""</f>
        <v/>
      </c>
      <c r="AW286" t="str">
        <f t="shared" si="315"/>
        <v>06</v>
      </c>
      <c r="AX286" t="str">
        <f t="shared" si="316"/>
        <v>計画</v>
      </c>
      <c r="AY286" t="str">
        <f t="shared" si="317"/>
        <v>02</v>
      </c>
      <c r="AZ286" t="str">
        <f t="shared" si="318"/>
        <v>計画・２社</v>
      </c>
      <c r="BA286" t="str">
        <f>""</f>
        <v/>
      </c>
      <c r="BB286" t="str">
        <f t="shared" si="294"/>
        <v>ＴＰ１３１フタナシ</v>
      </c>
      <c r="BC286" t="str">
        <f t="shared" si="295"/>
        <v xml:space="preserve"> 335.000</v>
      </c>
      <c r="BD286" t="str">
        <f t="shared" si="296"/>
        <v xml:space="preserve"> 168.000</v>
      </c>
      <c r="BE286" t="str">
        <f t="shared" si="297"/>
        <v xml:space="preserve"> 103.000</v>
      </c>
      <c r="BF286" t="str">
        <f t="shared" si="298"/>
        <v xml:space="preserve">   0.006</v>
      </c>
      <c r="BG286" t="str">
        <f t="shared" si="322"/>
        <v xml:space="preserve">   4.680</v>
      </c>
      <c r="BH286" t="str">
        <f t="shared" si="283"/>
        <v>しない</v>
      </c>
      <c r="BI286" t="str">
        <f>""</f>
        <v/>
      </c>
      <c r="BJ286" t="str">
        <f t="shared" si="321"/>
        <v>MASTER01</v>
      </c>
      <c r="BK286" t="str">
        <f t="shared" si="286"/>
        <v>2022/04/19</v>
      </c>
      <c r="BL286" t="str">
        <f t="shared" si="309"/>
        <v>NE00</v>
      </c>
      <c r="BM286" t="str">
        <f t="shared" si="310"/>
        <v>１工工務Ｇ</v>
      </c>
      <c r="BN286" t="str">
        <f t="shared" si="319"/>
        <v>46548</v>
      </c>
      <c r="BO286" t="str">
        <f t="shared" si="320"/>
        <v>長畑　玲奈</v>
      </c>
    </row>
    <row r="287" spans="1:67">
      <c r="A287" t="s">
        <v>369</v>
      </c>
      <c r="B287" t="str">
        <f>""</f>
        <v/>
      </c>
      <c r="C287" t="str">
        <f>""</f>
        <v/>
      </c>
      <c r="D287" t="str">
        <f t="shared" si="312"/>
        <v>SHIM</v>
      </c>
      <c r="E287" t="str">
        <f t="shared" si="299"/>
        <v>1Y</v>
      </c>
      <c r="F287" t="str">
        <f t="shared" si="300"/>
        <v>第１工場</v>
      </c>
      <c r="G287" t="str">
        <f t="shared" si="301"/>
        <v>手配</v>
      </c>
      <c r="H287" t="str">
        <f t="shared" si="302"/>
        <v>Ｐ</v>
      </c>
      <c r="I287" t="str">
        <f t="shared" si="287"/>
        <v>6454</v>
      </c>
      <c r="J287" t="str">
        <f t="shared" si="288"/>
        <v>（株）ムロコーポレーション</v>
      </c>
      <c r="K287" t="str">
        <f t="shared" si="285"/>
        <v>01</v>
      </c>
      <c r="L287" t="str">
        <f>""</f>
        <v/>
      </c>
      <c r="M287" t="str">
        <f t="shared" si="284"/>
        <v>――</v>
      </c>
      <c r="N287" t="str">
        <f t="shared" si="284"/>
        <v>――</v>
      </c>
      <c r="O287" t="str">
        <f t="shared" si="303"/>
        <v>Ｍ</v>
      </c>
      <c r="P287" t="str">
        <f t="shared" si="304"/>
        <v>01</v>
      </c>
      <c r="Q287" t="str">
        <f t="shared" si="305"/>
        <v>第１</v>
      </c>
      <c r="R287" t="str">
        <f t="shared" si="306"/>
        <v>1Y</v>
      </c>
      <c r="S287" t="str">
        <f t="shared" si="307"/>
        <v>安城第１工場</v>
      </c>
      <c r="T287" t="str">
        <f t="shared" si="308"/>
        <v>直接</v>
      </c>
      <c r="U287" t="str">
        <f>""</f>
        <v/>
      </c>
      <c r="V287" t="str">
        <f>""</f>
        <v/>
      </c>
      <c r="W287" t="str">
        <f>""</f>
        <v/>
      </c>
      <c r="X287">
        <v>1</v>
      </c>
      <c r="Y287">
        <v>1</v>
      </c>
      <c r="Z287">
        <v>0.73</v>
      </c>
      <c r="AA287">
        <v>0.93</v>
      </c>
      <c r="AB287">
        <v>3</v>
      </c>
      <c r="AC287">
        <v>0.93</v>
      </c>
      <c r="AD287">
        <v>0.93</v>
      </c>
      <c r="AE287">
        <v>1.1000000000000001</v>
      </c>
      <c r="AF287">
        <v>0.5</v>
      </c>
      <c r="AG287" t="str">
        <f t="shared" si="289"/>
        <v>205</v>
      </c>
      <c r="AH287" t="str">
        <f t="shared" si="290"/>
        <v>（株）ムロコーポレーション</v>
      </c>
      <c r="AI287" t="str">
        <f>"134"</f>
        <v>134</v>
      </c>
      <c r="AJ287" t="str">
        <f>"S-SM-1-24"</f>
        <v>S-SM-1-24</v>
      </c>
      <c r="AK287" t="str">
        <f>"10179"</f>
        <v>10179</v>
      </c>
      <c r="AL287" t="str">
        <f t="shared" si="313"/>
        <v>0370</v>
      </c>
      <c r="AM287" t="str">
        <f t="shared" si="314"/>
        <v>ｼﾑ</v>
      </c>
      <c r="AN287" t="str">
        <f t="shared" si="291"/>
        <v>012</v>
      </c>
      <c r="AO287" t="str">
        <f t="shared" si="292"/>
        <v>TP-131 ﾊﾝﾖｳ</v>
      </c>
      <c r="AP287">
        <v>100</v>
      </c>
      <c r="AQ287" t="str">
        <f>""</f>
        <v/>
      </c>
      <c r="AR287" t="str">
        <f>""</f>
        <v/>
      </c>
      <c r="AS287" t="str">
        <f>""</f>
        <v/>
      </c>
      <c r="AT287" t="str">
        <f t="shared" si="293"/>
        <v>00</v>
      </c>
      <c r="AU287">
        <v>0.5</v>
      </c>
      <c r="AV287" t="str">
        <f>""</f>
        <v/>
      </c>
      <c r="AW287" t="str">
        <f t="shared" si="315"/>
        <v>06</v>
      </c>
      <c r="AX287" t="str">
        <f t="shared" si="316"/>
        <v>計画</v>
      </c>
      <c r="AY287" t="str">
        <f t="shared" si="317"/>
        <v>02</v>
      </c>
      <c r="AZ287" t="str">
        <f t="shared" si="318"/>
        <v>計画・２社</v>
      </c>
      <c r="BA287" t="str">
        <f>""</f>
        <v/>
      </c>
      <c r="BB287" t="str">
        <f t="shared" si="294"/>
        <v>ＴＰ１３１フタナシ</v>
      </c>
      <c r="BC287" t="str">
        <f t="shared" si="295"/>
        <v xml:space="preserve"> 335.000</v>
      </c>
      <c r="BD287" t="str">
        <f t="shared" si="296"/>
        <v xml:space="preserve"> 168.000</v>
      </c>
      <c r="BE287" t="str">
        <f t="shared" si="297"/>
        <v xml:space="preserve"> 103.000</v>
      </c>
      <c r="BF287" t="str">
        <f t="shared" si="298"/>
        <v xml:space="preserve">   0.006</v>
      </c>
      <c r="BG287" t="str">
        <f>"   6.500"</f>
        <v xml:space="preserve">   6.500</v>
      </c>
      <c r="BH287" t="str">
        <f t="shared" si="283"/>
        <v>しない</v>
      </c>
      <c r="BI287" t="str">
        <f>""</f>
        <v/>
      </c>
      <c r="BJ287" t="str">
        <f t="shared" si="321"/>
        <v>MASTER01</v>
      </c>
      <c r="BK287" t="str">
        <f t="shared" si="286"/>
        <v>2022/04/19</v>
      </c>
      <c r="BL287" t="str">
        <f t="shared" si="309"/>
        <v>NE00</v>
      </c>
      <c r="BM287" t="str">
        <f t="shared" si="310"/>
        <v>１工工務Ｇ</v>
      </c>
      <c r="BN287" t="str">
        <f t="shared" si="319"/>
        <v>46548</v>
      </c>
      <c r="BO287" t="str">
        <f t="shared" si="320"/>
        <v>長畑　玲奈</v>
      </c>
    </row>
    <row r="288" spans="1:67">
      <c r="A288" t="s">
        <v>370</v>
      </c>
      <c r="B288" t="str">
        <f>""</f>
        <v/>
      </c>
      <c r="C288" t="str">
        <f>""</f>
        <v/>
      </c>
      <c r="D288" t="str">
        <f t="shared" si="312"/>
        <v>SHIM</v>
      </c>
      <c r="E288" t="str">
        <f t="shared" si="299"/>
        <v>1Y</v>
      </c>
      <c r="F288" t="str">
        <f t="shared" si="300"/>
        <v>第１工場</v>
      </c>
      <c r="G288" t="str">
        <f t="shared" si="301"/>
        <v>手配</v>
      </c>
      <c r="H288" t="str">
        <f t="shared" si="302"/>
        <v>Ｐ</v>
      </c>
      <c r="I288" t="str">
        <f t="shared" si="287"/>
        <v>6454</v>
      </c>
      <c r="J288" t="str">
        <f t="shared" si="288"/>
        <v>（株）ムロコーポレーション</v>
      </c>
      <c r="K288" t="str">
        <f t="shared" si="285"/>
        <v>01</v>
      </c>
      <c r="L288" t="str">
        <f>""</f>
        <v/>
      </c>
      <c r="M288" t="str">
        <f t="shared" si="284"/>
        <v>――</v>
      </c>
      <c r="N288" t="str">
        <f t="shared" si="284"/>
        <v>――</v>
      </c>
      <c r="O288" t="str">
        <f t="shared" si="303"/>
        <v>Ｍ</v>
      </c>
      <c r="P288" t="str">
        <f t="shared" si="304"/>
        <v>01</v>
      </c>
      <c r="Q288" t="str">
        <f t="shared" si="305"/>
        <v>第１</v>
      </c>
      <c r="R288" t="str">
        <f t="shared" si="306"/>
        <v>1Y</v>
      </c>
      <c r="S288" t="str">
        <f t="shared" si="307"/>
        <v>安城第１工場</v>
      </c>
      <c r="T288" t="str">
        <f t="shared" si="308"/>
        <v>直接</v>
      </c>
      <c r="U288" t="str">
        <f>""</f>
        <v/>
      </c>
      <c r="V288" t="str">
        <f>""</f>
        <v/>
      </c>
      <c r="W288" t="str">
        <f>""</f>
        <v/>
      </c>
      <c r="X288">
        <v>1</v>
      </c>
      <c r="Y288">
        <v>1</v>
      </c>
      <c r="Z288">
        <v>0.73</v>
      </c>
      <c r="AA288">
        <v>0.93</v>
      </c>
      <c r="AB288">
        <v>3</v>
      </c>
      <c r="AC288">
        <v>0.93</v>
      </c>
      <c r="AD288">
        <v>0.93</v>
      </c>
      <c r="AE288">
        <v>1.1000000000000001</v>
      </c>
      <c r="AF288">
        <v>0.5</v>
      </c>
      <c r="AG288" t="str">
        <f t="shared" si="289"/>
        <v>205</v>
      </c>
      <c r="AH288" t="str">
        <f t="shared" si="290"/>
        <v>（株）ムロコーポレーション</v>
      </c>
      <c r="AI288" t="str">
        <f>"135"</f>
        <v>135</v>
      </c>
      <c r="AJ288" t="str">
        <f>"S-SM-1-25"</f>
        <v>S-SM-1-25</v>
      </c>
      <c r="AK288" t="str">
        <f>"10180"</f>
        <v>10180</v>
      </c>
      <c r="AL288" t="str">
        <f t="shared" si="313"/>
        <v>0370</v>
      </c>
      <c r="AM288" t="str">
        <f t="shared" si="314"/>
        <v>ｼﾑ</v>
      </c>
      <c r="AN288" t="str">
        <f t="shared" si="291"/>
        <v>012</v>
      </c>
      <c r="AO288" t="str">
        <f t="shared" si="292"/>
        <v>TP-131 ﾊﾝﾖｳ</v>
      </c>
      <c r="AP288">
        <v>100</v>
      </c>
      <c r="AQ288" t="str">
        <f>""</f>
        <v/>
      </c>
      <c r="AR288" t="str">
        <f>""</f>
        <v/>
      </c>
      <c r="AS288" t="str">
        <f>""</f>
        <v/>
      </c>
      <c r="AT288" t="str">
        <f t="shared" si="293"/>
        <v>00</v>
      </c>
      <c r="AU288">
        <v>0.5</v>
      </c>
      <c r="AV288" t="str">
        <f>""</f>
        <v/>
      </c>
      <c r="AW288" t="str">
        <f t="shared" si="315"/>
        <v>06</v>
      </c>
      <c r="AX288" t="str">
        <f t="shared" si="316"/>
        <v>計画</v>
      </c>
      <c r="AY288" t="str">
        <f t="shared" si="317"/>
        <v>02</v>
      </c>
      <c r="AZ288" t="str">
        <f t="shared" si="318"/>
        <v>計画・２社</v>
      </c>
      <c r="BA288" t="str">
        <f>""</f>
        <v/>
      </c>
      <c r="BB288" t="str">
        <f t="shared" si="294"/>
        <v>ＴＰ１３１フタナシ</v>
      </c>
      <c r="BC288" t="str">
        <f t="shared" si="295"/>
        <v xml:space="preserve"> 335.000</v>
      </c>
      <c r="BD288" t="str">
        <f t="shared" si="296"/>
        <v xml:space="preserve"> 168.000</v>
      </c>
      <c r="BE288" t="str">
        <f t="shared" si="297"/>
        <v xml:space="preserve"> 103.000</v>
      </c>
      <c r="BF288" t="str">
        <f t="shared" si="298"/>
        <v xml:space="preserve">   0.006</v>
      </c>
      <c r="BG288" t="str">
        <f>"   4.680"</f>
        <v xml:space="preserve">   4.680</v>
      </c>
      <c r="BH288" t="str">
        <f t="shared" si="283"/>
        <v>しない</v>
      </c>
      <c r="BI288" t="str">
        <f>""</f>
        <v/>
      </c>
      <c r="BJ288" t="str">
        <f t="shared" si="321"/>
        <v>MASTER01</v>
      </c>
      <c r="BK288" t="str">
        <f t="shared" si="286"/>
        <v>2022/04/19</v>
      </c>
      <c r="BL288" t="str">
        <f t="shared" si="309"/>
        <v>NE00</v>
      </c>
      <c r="BM288" t="str">
        <f t="shared" si="310"/>
        <v>１工工務Ｇ</v>
      </c>
      <c r="BN288" t="str">
        <f t="shared" si="319"/>
        <v>46548</v>
      </c>
      <c r="BO288" t="str">
        <f t="shared" si="320"/>
        <v>長畑　玲奈</v>
      </c>
    </row>
    <row r="289" spans="1:67">
      <c r="A289" t="s">
        <v>371</v>
      </c>
      <c r="B289" t="str">
        <f>""</f>
        <v/>
      </c>
      <c r="C289" t="str">
        <f>""</f>
        <v/>
      </c>
      <c r="D289" t="str">
        <f t="shared" si="312"/>
        <v>SHIM</v>
      </c>
      <c r="E289" t="str">
        <f t="shared" si="299"/>
        <v>1Y</v>
      </c>
      <c r="F289" t="str">
        <f t="shared" si="300"/>
        <v>第１工場</v>
      </c>
      <c r="G289" t="str">
        <f t="shared" si="301"/>
        <v>手配</v>
      </c>
      <c r="H289" t="str">
        <f t="shared" si="302"/>
        <v>Ｐ</v>
      </c>
      <c r="I289" t="str">
        <f t="shared" si="287"/>
        <v>6454</v>
      </c>
      <c r="J289" t="str">
        <f t="shared" si="288"/>
        <v>（株）ムロコーポレーション</v>
      </c>
      <c r="K289" t="str">
        <f t="shared" si="285"/>
        <v>01</v>
      </c>
      <c r="L289" t="str">
        <f>""</f>
        <v/>
      </c>
      <c r="M289" t="str">
        <f t="shared" si="284"/>
        <v>――</v>
      </c>
      <c r="N289" t="str">
        <f t="shared" si="284"/>
        <v>――</v>
      </c>
      <c r="O289" t="str">
        <f t="shared" si="303"/>
        <v>Ｍ</v>
      </c>
      <c r="P289" t="str">
        <f t="shared" si="304"/>
        <v>01</v>
      </c>
      <c r="Q289" t="str">
        <f t="shared" si="305"/>
        <v>第１</v>
      </c>
      <c r="R289" t="str">
        <f t="shared" si="306"/>
        <v>1Y</v>
      </c>
      <c r="S289" t="str">
        <f t="shared" si="307"/>
        <v>安城第１工場</v>
      </c>
      <c r="T289" t="str">
        <f t="shared" si="308"/>
        <v>直接</v>
      </c>
      <c r="U289" t="str">
        <f>""</f>
        <v/>
      </c>
      <c r="V289" t="str">
        <f>""</f>
        <v/>
      </c>
      <c r="W289" t="str">
        <f>""</f>
        <v/>
      </c>
      <c r="X289">
        <v>1</v>
      </c>
      <c r="Y289">
        <v>1</v>
      </c>
      <c r="Z289">
        <v>0.73</v>
      </c>
      <c r="AA289">
        <v>0.93</v>
      </c>
      <c r="AB289">
        <v>3</v>
      </c>
      <c r="AC289">
        <v>0.93</v>
      </c>
      <c r="AD289">
        <v>0.93</v>
      </c>
      <c r="AE289">
        <v>1.1000000000000001</v>
      </c>
      <c r="AF289">
        <v>0.5</v>
      </c>
      <c r="AG289" t="str">
        <f t="shared" si="289"/>
        <v>205</v>
      </c>
      <c r="AH289" t="str">
        <f t="shared" si="290"/>
        <v>（株）ムロコーポレーション</v>
      </c>
      <c r="AI289" t="str">
        <f>"136"</f>
        <v>136</v>
      </c>
      <c r="AJ289" t="str">
        <f>"S-SM-1-26"</f>
        <v>S-SM-1-26</v>
      </c>
      <c r="AK289" t="str">
        <f>"10181"</f>
        <v>10181</v>
      </c>
      <c r="AL289" t="str">
        <f t="shared" si="313"/>
        <v>0370</v>
      </c>
      <c r="AM289" t="str">
        <f t="shared" si="314"/>
        <v>ｼﾑ</v>
      </c>
      <c r="AN289" t="str">
        <f t="shared" si="291"/>
        <v>012</v>
      </c>
      <c r="AO289" t="str">
        <f t="shared" si="292"/>
        <v>TP-131 ﾊﾝﾖｳ</v>
      </c>
      <c r="AP289">
        <v>100</v>
      </c>
      <c r="AQ289" t="str">
        <f>""</f>
        <v/>
      </c>
      <c r="AR289" t="str">
        <f>""</f>
        <v/>
      </c>
      <c r="AS289" t="str">
        <f>""</f>
        <v/>
      </c>
      <c r="AT289" t="str">
        <f t="shared" si="293"/>
        <v>00</v>
      </c>
      <c r="AU289">
        <v>0.5</v>
      </c>
      <c r="AV289" t="str">
        <f>""</f>
        <v/>
      </c>
      <c r="AW289" t="str">
        <f t="shared" si="315"/>
        <v>06</v>
      </c>
      <c r="AX289" t="str">
        <f t="shared" si="316"/>
        <v>計画</v>
      </c>
      <c r="AY289" t="str">
        <f t="shared" si="317"/>
        <v>02</v>
      </c>
      <c r="AZ289" t="str">
        <f t="shared" si="318"/>
        <v>計画・２社</v>
      </c>
      <c r="BA289" t="str">
        <f>""</f>
        <v/>
      </c>
      <c r="BB289" t="str">
        <f t="shared" si="294"/>
        <v>ＴＰ１３１フタナシ</v>
      </c>
      <c r="BC289" t="str">
        <f t="shared" si="295"/>
        <v xml:space="preserve"> 335.000</v>
      </c>
      <c r="BD289" t="str">
        <f t="shared" si="296"/>
        <v xml:space="preserve"> 168.000</v>
      </c>
      <c r="BE289" t="str">
        <f t="shared" si="297"/>
        <v xml:space="preserve"> 103.000</v>
      </c>
      <c r="BF289" t="str">
        <f t="shared" si="298"/>
        <v xml:space="preserve">   0.006</v>
      </c>
      <c r="BG289" t="str">
        <f t="shared" ref="BG289:BG328" si="323">"   6.500"</f>
        <v xml:space="preserve">   6.500</v>
      </c>
      <c r="BH289" t="str">
        <f t="shared" si="283"/>
        <v>しない</v>
      </c>
      <c r="BI289" t="str">
        <f>""</f>
        <v/>
      </c>
      <c r="BJ289" t="str">
        <f t="shared" si="321"/>
        <v>MASTER01</v>
      </c>
      <c r="BK289" t="str">
        <f t="shared" si="286"/>
        <v>2022/04/19</v>
      </c>
      <c r="BL289" t="str">
        <f t="shared" si="309"/>
        <v>NE00</v>
      </c>
      <c r="BM289" t="str">
        <f t="shared" si="310"/>
        <v>１工工務Ｇ</v>
      </c>
      <c r="BN289" t="str">
        <f t="shared" si="319"/>
        <v>46548</v>
      </c>
      <c r="BO289" t="str">
        <f t="shared" si="320"/>
        <v>長畑　玲奈</v>
      </c>
    </row>
    <row r="290" spans="1:67">
      <c r="A290" t="s">
        <v>372</v>
      </c>
      <c r="B290" t="str">
        <f>""</f>
        <v/>
      </c>
      <c r="C290" t="str">
        <f>""</f>
        <v/>
      </c>
      <c r="D290" t="str">
        <f t="shared" si="312"/>
        <v>SHIM</v>
      </c>
      <c r="E290" t="str">
        <f t="shared" si="299"/>
        <v>1Y</v>
      </c>
      <c r="F290" t="str">
        <f t="shared" si="300"/>
        <v>第１工場</v>
      </c>
      <c r="G290" t="str">
        <f t="shared" si="301"/>
        <v>手配</v>
      </c>
      <c r="H290" t="str">
        <f t="shared" si="302"/>
        <v>Ｐ</v>
      </c>
      <c r="I290" t="str">
        <f t="shared" si="287"/>
        <v>6454</v>
      </c>
      <c r="J290" t="str">
        <f t="shared" si="288"/>
        <v>（株）ムロコーポレーション</v>
      </c>
      <c r="K290" t="str">
        <f t="shared" si="285"/>
        <v>01</v>
      </c>
      <c r="L290" t="str">
        <f>""</f>
        <v/>
      </c>
      <c r="M290" t="str">
        <f t="shared" si="284"/>
        <v>――</v>
      </c>
      <c r="N290" t="str">
        <f t="shared" si="284"/>
        <v>――</v>
      </c>
      <c r="O290" t="str">
        <f t="shared" si="303"/>
        <v>Ｍ</v>
      </c>
      <c r="P290" t="str">
        <f t="shared" si="304"/>
        <v>01</v>
      </c>
      <c r="Q290" t="str">
        <f t="shared" si="305"/>
        <v>第１</v>
      </c>
      <c r="R290" t="str">
        <f t="shared" si="306"/>
        <v>1Y</v>
      </c>
      <c r="S290" t="str">
        <f t="shared" si="307"/>
        <v>安城第１工場</v>
      </c>
      <c r="T290" t="str">
        <f t="shared" si="308"/>
        <v>直接</v>
      </c>
      <c r="U290" t="str">
        <f>""</f>
        <v/>
      </c>
      <c r="V290" t="str">
        <f>""</f>
        <v/>
      </c>
      <c r="W290" t="str">
        <f>""</f>
        <v/>
      </c>
      <c r="X290">
        <v>1</v>
      </c>
      <c r="Y290">
        <v>1</v>
      </c>
      <c r="Z290">
        <v>0.73</v>
      </c>
      <c r="AA290">
        <v>0.93</v>
      </c>
      <c r="AB290">
        <v>3</v>
      </c>
      <c r="AC290">
        <v>0.93</v>
      </c>
      <c r="AD290">
        <v>0.93</v>
      </c>
      <c r="AE290">
        <v>1.1000000000000001</v>
      </c>
      <c r="AF290">
        <v>0.5</v>
      </c>
      <c r="AG290" t="str">
        <f t="shared" si="289"/>
        <v>205</v>
      </c>
      <c r="AH290" t="str">
        <f t="shared" si="290"/>
        <v>（株）ムロコーポレーション</v>
      </c>
      <c r="AI290" t="str">
        <f>"137"</f>
        <v>137</v>
      </c>
      <c r="AJ290" t="str">
        <f>"S-SM-1-27"</f>
        <v>S-SM-1-27</v>
      </c>
      <c r="AK290" t="str">
        <f>"10182"</f>
        <v>10182</v>
      </c>
      <c r="AL290" t="str">
        <f t="shared" si="313"/>
        <v>0370</v>
      </c>
      <c r="AM290" t="str">
        <f t="shared" si="314"/>
        <v>ｼﾑ</v>
      </c>
      <c r="AN290" t="str">
        <f t="shared" si="291"/>
        <v>012</v>
      </c>
      <c r="AO290" t="str">
        <f t="shared" si="292"/>
        <v>TP-131 ﾊﾝﾖｳ</v>
      </c>
      <c r="AP290">
        <v>100</v>
      </c>
      <c r="AQ290" t="str">
        <f>""</f>
        <v/>
      </c>
      <c r="AR290" t="str">
        <f>""</f>
        <v/>
      </c>
      <c r="AS290" t="str">
        <f>""</f>
        <v/>
      </c>
      <c r="AT290" t="str">
        <f t="shared" si="293"/>
        <v>00</v>
      </c>
      <c r="AU290">
        <v>0.5</v>
      </c>
      <c r="AV290" t="str">
        <f>""</f>
        <v/>
      </c>
      <c r="AW290" t="str">
        <f t="shared" si="315"/>
        <v>06</v>
      </c>
      <c r="AX290" t="str">
        <f t="shared" si="316"/>
        <v>計画</v>
      </c>
      <c r="AY290" t="str">
        <f t="shared" si="317"/>
        <v>02</v>
      </c>
      <c r="AZ290" t="str">
        <f t="shared" si="318"/>
        <v>計画・２社</v>
      </c>
      <c r="BA290" t="str">
        <f>""</f>
        <v/>
      </c>
      <c r="BB290" t="str">
        <f t="shared" si="294"/>
        <v>ＴＰ１３１フタナシ</v>
      </c>
      <c r="BC290" t="str">
        <f t="shared" si="295"/>
        <v xml:space="preserve"> 335.000</v>
      </c>
      <c r="BD290" t="str">
        <f t="shared" si="296"/>
        <v xml:space="preserve"> 168.000</v>
      </c>
      <c r="BE290" t="str">
        <f t="shared" si="297"/>
        <v xml:space="preserve"> 103.000</v>
      </c>
      <c r="BF290" t="str">
        <f t="shared" si="298"/>
        <v xml:space="preserve">   0.006</v>
      </c>
      <c r="BG290" t="str">
        <f t="shared" si="323"/>
        <v xml:space="preserve">   6.500</v>
      </c>
      <c r="BH290" t="str">
        <f t="shared" si="283"/>
        <v>しない</v>
      </c>
      <c r="BI290" t="str">
        <f>""</f>
        <v/>
      </c>
      <c r="BJ290" t="str">
        <f t="shared" si="321"/>
        <v>MASTER01</v>
      </c>
      <c r="BK290" t="str">
        <f t="shared" si="286"/>
        <v>2022/04/19</v>
      </c>
      <c r="BL290" t="str">
        <f t="shared" si="309"/>
        <v>NE00</v>
      </c>
      <c r="BM290" t="str">
        <f t="shared" si="310"/>
        <v>１工工務Ｇ</v>
      </c>
      <c r="BN290" t="str">
        <f t="shared" si="319"/>
        <v>46548</v>
      </c>
      <c r="BO290" t="str">
        <f t="shared" si="320"/>
        <v>長畑　玲奈</v>
      </c>
    </row>
    <row r="291" spans="1:67">
      <c r="A291" t="s">
        <v>373</v>
      </c>
      <c r="B291" t="str">
        <f>""</f>
        <v/>
      </c>
      <c r="C291" t="str">
        <f>""</f>
        <v/>
      </c>
      <c r="D291" t="str">
        <f t="shared" si="312"/>
        <v>SHIM</v>
      </c>
      <c r="E291" t="str">
        <f t="shared" si="299"/>
        <v>1Y</v>
      </c>
      <c r="F291" t="str">
        <f t="shared" si="300"/>
        <v>第１工場</v>
      </c>
      <c r="G291" t="str">
        <f t="shared" si="301"/>
        <v>手配</v>
      </c>
      <c r="H291" t="str">
        <f t="shared" si="302"/>
        <v>Ｐ</v>
      </c>
      <c r="I291" t="str">
        <f t="shared" si="287"/>
        <v>6454</v>
      </c>
      <c r="J291" t="str">
        <f t="shared" si="288"/>
        <v>（株）ムロコーポレーション</v>
      </c>
      <c r="K291" t="str">
        <f t="shared" si="285"/>
        <v>01</v>
      </c>
      <c r="L291" t="str">
        <f>""</f>
        <v/>
      </c>
      <c r="M291" t="str">
        <f t="shared" si="284"/>
        <v>――</v>
      </c>
      <c r="N291" t="str">
        <f t="shared" si="284"/>
        <v>――</v>
      </c>
      <c r="O291" t="str">
        <f t="shared" si="303"/>
        <v>Ｍ</v>
      </c>
      <c r="P291" t="str">
        <f t="shared" si="304"/>
        <v>01</v>
      </c>
      <c r="Q291" t="str">
        <f t="shared" si="305"/>
        <v>第１</v>
      </c>
      <c r="R291" t="str">
        <f t="shared" si="306"/>
        <v>1Y</v>
      </c>
      <c r="S291" t="str">
        <f t="shared" si="307"/>
        <v>安城第１工場</v>
      </c>
      <c r="T291" t="str">
        <f t="shared" si="308"/>
        <v>直接</v>
      </c>
      <c r="U291" t="str">
        <f>""</f>
        <v/>
      </c>
      <c r="V291" t="str">
        <f>""</f>
        <v/>
      </c>
      <c r="W291" t="str">
        <f>""</f>
        <v/>
      </c>
      <c r="X291">
        <v>1</v>
      </c>
      <c r="Y291">
        <v>1</v>
      </c>
      <c r="Z291">
        <v>0.73</v>
      </c>
      <c r="AA291">
        <v>0.93</v>
      </c>
      <c r="AB291">
        <v>3</v>
      </c>
      <c r="AC291">
        <v>0.93</v>
      </c>
      <c r="AD291">
        <v>0.93</v>
      </c>
      <c r="AE291">
        <v>1.1000000000000001</v>
      </c>
      <c r="AF291">
        <v>0.5</v>
      </c>
      <c r="AG291" t="str">
        <f t="shared" si="289"/>
        <v>205</v>
      </c>
      <c r="AH291" t="str">
        <f t="shared" si="290"/>
        <v>（株）ムロコーポレーション</v>
      </c>
      <c r="AI291" t="str">
        <f>"138"</f>
        <v>138</v>
      </c>
      <c r="AJ291" t="str">
        <f>"S-SM-1-28"</f>
        <v>S-SM-1-28</v>
      </c>
      <c r="AK291" t="str">
        <f>"10183"</f>
        <v>10183</v>
      </c>
      <c r="AL291" t="str">
        <f t="shared" si="313"/>
        <v>0370</v>
      </c>
      <c r="AM291" t="str">
        <f t="shared" si="314"/>
        <v>ｼﾑ</v>
      </c>
      <c r="AN291" t="str">
        <f t="shared" si="291"/>
        <v>012</v>
      </c>
      <c r="AO291" t="str">
        <f t="shared" si="292"/>
        <v>TP-131 ﾊﾝﾖｳ</v>
      </c>
      <c r="AP291">
        <v>100</v>
      </c>
      <c r="AQ291" t="str">
        <f>""</f>
        <v/>
      </c>
      <c r="AR291" t="str">
        <f>""</f>
        <v/>
      </c>
      <c r="AS291" t="str">
        <f>""</f>
        <v/>
      </c>
      <c r="AT291" t="str">
        <f t="shared" si="293"/>
        <v>00</v>
      </c>
      <c r="AU291">
        <v>0.5</v>
      </c>
      <c r="AV291" t="str">
        <f>""</f>
        <v/>
      </c>
      <c r="AW291" t="str">
        <f t="shared" si="315"/>
        <v>06</v>
      </c>
      <c r="AX291" t="str">
        <f t="shared" si="316"/>
        <v>計画</v>
      </c>
      <c r="AY291" t="str">
        <f t="shared" si="317"/>
        <v>02</v>
      </c>
      <c r="AZ291" t="str">
        <f t="shared" si="318"/>
        <v>計画・２社</v>
      </c>
      <c r="BA291" t="str">
        <f>""</f>
        <v/>
      </c>
      <c r="BB291" t="str">
        <f t="shared" si="294"/>
        <v>ＴＰ１３１フタナシ</v>
      </c>
      <c r="BC291" t="str">
        <f t="shared" si="295"/>
        <v xml:space="preserve"> 335.000</v>
      </c>
      <c r="BD291" t="str">
        <f t="shared" si="296"/>
        <v xml:space="preserve"> 168.000</v>
      </c>
      <c r="BE291" t="str">
        <f t="shared" si="297"/>
        <v xml:space="preserve"> 103.000</v>
      </c>
      <c r="BF291" t="str">
        <f t="shared" si="298"/>
        <v xml:space="preserve">   0.006</v>
      </c>
      <c r="BG291" t="str">
        <f t="shared" si="323"/>
        <v xml:space="preserve">   6.500</v>
      </c>
      <c r="BH291" t="str">
        <f t="shared" ref="BH291:BH354" si="324">"しない"</f>
        <v>しない</v>
      </c>
      <c r="BI291" t="str">
        <f>""</f>
        <v/>
      </c>
      <c r="BJ291" t="str">
        <f t="shared" si="321"/>
        <v>MASTER01</v>
      </c>
      <c r="BK291" t="str">
        <f t="shared" si="286"/>
        <v>2022/04/19</v>
      </c>
      <c r="BL291" t="str">
        <f t="shared" si="309"/>
        <v>NE00</v>
      </c>
      <c r="BM291" t="str">
        <f t="shared" si="310"/>
        <v>１工工務Ｇ</v>
      </c>
      <c r="BN291" t="str">
        <f t="shared" si="319"/>
        <v>46548</v>
      </c>
      <c r="BO291" t="str">
        <f t="shared" si="320"/>
        <v>長畑　玲奈</v>
      </c>
    </row>
    <row r="292" spans="1:67">
      <c r="A292" t="s">
        <v>374</v>
      </c>
      <c r="B292" t="str">
        <f>""</f>
        <v/>
      </c>
      <c r="C292" t="str">
        <f>""</f>
        <v/>
      </c>
      <c r="D292" t="str">
        <f t="shared" si="312"/>
        <v>SHIM</v>
      </c>
      <c r="E292" t="str">
        <f t="shared" si="299"/>
        <v>1Y</v>
      </c>
      <c r="F292" t="str">
        <f t="shared" si="300"/>
        <v>第１工場</v>
      </c>
      <c r="G292" t="str">
        <f t="shared" si="301"/>
        <v>手配</v>
      </c>
      <c r="H292" t="str">
        <f t="shared" si="302"/>
        <v>Ｐ</v>
      </c>
      <c r="I292" t="str">
        <f t="shared" si="287"/>
        <v>6454</v>
      </c>
      <c r="J292" t="str">
        <f t="shared" si="288"/>
        <v>（株）ムロコーポレーション</v>
      </c>
      <c r="K292" t="str">
        <f t="shared" si="285"/>
        <v>01</v>
      </c>
      <c r="L292" t="str">
        <f>""</f>
        <v/>
      </c>
      <c r="M292" t="str">
        <f t="shared" si="284"/>
        <v>――</v>
      </c>
      <c r="N292" t="str">
        <f t="shared" si="284"/>
        <v>――</v>
      </c>
      <c r="O292" t="str">
        <f t="shared" si="303"/>
        <v>Ｍ</v>
      </c>
      <c r="P292" t="str">
        <f t="shared" si="304"/>
        <v>01</v>
      </c>
      <c r="Q292" t="str">
        <f t="shared" si="305"/>
        <v>第１</v>
      </c>
      <c r="R292" t="str">
        <f t="shared" si="306"/>
        <v>1Y</v>
      </c>
      <c r="S292" t="str">
        <f t="shared" si="307"/>
        <v>安城第１工場</v>
      </c>
      <c r="T292" t="str">
        <f t="shared" si="308"/>
        <v>直接</v>
      </c>
      <c r="U292" t="str">
        <f>""</f>
        <v/>
      </c>
      <c r="V292" t="str">
        <f>""</f>
        <v/>
      </c>
      <c r="W292" t="str">
        <f>""</f>
        <v/>
      </c>
      <c r="X292">
        <v>1</v>
      </c>
      <c r="Y292">
        <v>1</v>
      </c>
      <c r="Z292">
        <v>0.73</v>
      </c>
      <c r="AA292">
        <v>0.93</v>
      </c>
      <c r="AB292">
        <v>3</v>
      </c>
      <c r="AC292">
        <v>0.93</v>
      </c>
      <c r="AD292">
        <v>0.93</v>
      </c>
      <c r="AE292">
        <v>1.1000000000000001</v>
      </c>
      <c r="AF292">
        <v>0.5</v>
      </c>
      <c r="AG292" t="str">
        <f t="shared" si="289"/>
        <v>205</v>
      </c>
      <c r="AH292" t="str">
        <f t="shared" si="290"/>
        <v>（株）ムロコーポレーション</v>
      </c>
      <c r="AI292" t="str">
        <f>"139"</f>
        <v>139</v>
      </c>
      <c r="AJ292" t="str">
        <f>"S-SM-3-47"</f>
        <v>S-SM-3-47</v>
      </c>
      <c r="AK292" t="str">
        <f>"10184"</f>
        <v>10184</v>
      </c>
      <c r="AL292" t="str">
        <f t="shared" si="313"/>
        <v>0370</v>
      </c>
      <c r="AM292" t="str">
        <f t="shared" si="314"/>
        <v>ｼﾑ</v>
      </c>
      <c r="AN292" t="str">
        <f t="shared" si="291"/>
        <v>012</v>
      </c>
      <c r="AO292" t="str">
        <f t="shared" si="292"/>
        <v>TP-131 ﾊﾝﾖｳ</v>
      </c>
      <c r="AP292">
        <v>100</v>
      </c>
      <c r="AQ292" t="str">
        <f>""</f>
        <v/>
      </c>
      <c r="AR292" t="str">
        <f>""</f>
        <v/>
      </c>
      <c r="AS292" t="str">
        <f>""</f>
        <v/>
      </c>
      <c r="AT292" t="str">
        <f t="shared" si="293"/>
        <v>00</v>
      </c>
      <c r="AU292">
        <v>0.5</v>
      </c>
      <c r="AV292" t="str">
        <f>""</f>
        <v/>
      </c>
      <c r="AW292" t="str">
        <f t="shared" si="315"/>
        <v>06</v>
      </c>
      <c r="AX292" t="str">
        <f t="shared" si="316"/>
        <v>計画</v>
      </c>
      <c r="AY292" t="str">
        <f t="shared" si="317"/>
        <v>02</v>
      </c>
      <c r="AZ292" t="str">
        <f t="shared" si="318"/>
        <v>計画・２社</v>
      </c>
      <c r="BA292" t="str">
        <f>""</f>
        <v/>
      </c>
      <c r="BB292" t="str">
        <f t="shared" si="294"/>
        <v>ＴＰ１３１フタナシ</v>
      </c>
      <c r="BC292" t="str">
        <f t="shared" si="295"/>
        <v xml:space="preserve"> 335.000</v>
      </c>
      <c r="BD292" t="str">
        <f t="shared" si="296"/>
        <v xml:space="preserve"> 168.000</v>
      </c>
      <c r="BE292" t="str">
        <f t="shared" si="297"/>
        <v xml:space="preserve"> 103.000</v>
      </c>
      <c r="BF292" t="str">
        <f t="shared" si="298"/>
        <v xml:space="preserve">   0.006</v>
      </c>
      <c r="BG292" t="str">
        <f t="shared" si="323"/>
        <v xml:space="preserve">   6.500</v>
      </c>
      <c r="BH292" t="str">
        <f t="shared" si="324"/>
        <v>しない</v>
      </c>
      <c r="BI292" t="str">
        <f>""</f>
        <v/>
      </c>
      <c r="BJ292" t="str">
        <f t="shared" si="321"/>
        <v>MASTER01</v>
      </c>
      <c r="BK292" t="str">
        <f t="shared" si="286"/>
        <v>2022/04/19</v>
      </c>
      <c r="BL292" t="str">
        <f t="shared" si="309"/>
        <v>NE00</v>
      </c>
      <c r="BM292" t="str">
        <f t="shared" si="310"/>
        <v>１工工務Ｇ</v>
      </c>
      <c r="BN292" t="str">
        <f t="shared" si="319"/>
        <v>46548</v>
      </c>
      <c r="BO292" t="str">
        <f t="shared" si="320"/>
        <v>長畑　玲奈</v>
      </c>
    </row>
    <row r="293" spans="1:67">
      <c r="A293" t="s">
        <v>375</v>
      </c>
      <c r="B293" t="str">
        <f>""</f>
        <v/>
      </c>
      <c r="C293" t="str">
        <f>""</f>
        <v/>
      </c>
      <c r="D293" t="str">
        <f t="shared" si="312"/>
        <v>SHIM</v>
      </c>
      <c r="E293" t="str">
        <f t="shared" si="299"/>
        <v>1Y</v>
      </c>
      <c r="F293" t="str">
        <f t="shared" si="300"/>
        <v>第１工場</v>
      </c>
      <c r="G293" t="str">
        <f t="shared" si="301"/>
        <v>手配</v>
      </c>
      <c r="H293" t="str">
        <f t="shared" si="302"/>
        <v>Ｐ</v>
      </c>
      <c r="I293" t="str">
        <f t="shared" si="287"/>
        <v>6454</v>
      </c>
      <c r="J293" t="str">
        <f t="shared" si="288"/>
        <v>（株）ムロコーポレーション</v>
      </c>
      <c r="K293" t="str">
        <f t="shared" si="285"/>
        <v>01</v>
      </c>
      <c r="L293" t="str">
        <f>""</f>
        <v/>
      </c>
      <c r="M293" t="str">
        <f t="shared" ref="M293:N356" si="325">"――"</f>
        <v>――</v>
      </c>
      <c r="N293" t="str">
        <f t="shared" si="325"/>
        <v>――</v>
      </c>
      <c r="O293" t="str">
        <f t="shared" si="303"/>
        <v>Ｍ</v>
      </c>
      <c r="P293" t="str">
        <f t="shared" si="304"/>
        <v>01</v>
      </c>
      <c r="Q293" t="str">
        <f t="shared" si="305"/>
        <v>第１</v>
      </c>
      <c r="R293" t="str">
        <f t="shared" si="306"/>
        <v>1Y</v>
      </c>
      <c r="S293" t="str">
        <f t="shared" si="307"/>
        <v>安城第１工場</v>
      </c>
      <c r="T293" t="str">
        <f t="shared" si="308"/>
        <v>直接</v>
      </c>
      <c r="U293" t="str">
        <f>""</f>
        <v/>
      </c>
      <c r="V293" t="str">
        <f>""</f>
        <v/>
      </c>
      <c r="W293" t="str">
        <f>""</f>
        <v/>
      </c>
      <c r="X293">
        <v>1</v>
      </c>
      <c r="Y293">
        <v>1</v>
      </c>
      <c r="Z293">
        <v>0.73</v>
      </c>
      <c r="AA293">
        <v>0.93</v>
      </c>
      <c r="AB293">
        <v>3</v>
      </c>
      <c r="AC293">
        <v>0.93</v>
      </c>
      <c r="AD293">
        <v>0.93</v>
      </c>
      <c r="AE293">
        <v>1.1000000000000001</v>
      </c>
      <c r="AF293">
        <v>0.5</v>
      </c>
      <c r="AG293" t="str">
        <f t="shared" si="289"/>
        <v>205</v>
      </c>
      <c r="AH293" t="str">
        <f t="shared" si="290"/>
        <v>（株）ムロコーポレーション</v>
      </c>
      <c r="AI293" t="str">
        <f>"140"</f>
        <v>140</v>
      </c>
      <c r="AJ293" t="str">
        <f>"S-SM-3-48"</f>
        <v>S-SM-3-48</v>
      </c>
      <c r="AK293" t="str">
        <f>"10185"</f>
        <v>10185</v>
      </c>
      <c r="AL293" t="str">
        <f t="shared" si="313"/>
        <v>0370</v>
      </c>
      <c r="AM293" t="str">
        <f t="shared" si="314"/>
        <v>ｼﾑ</v>
      </c>
      <c r="AN293" t="str">
        <f t="shared" si="291"/>
        <v>012</v>
      </c>
      <c r="AO293" t="str">
        <f t="shared" si="292"/>
        <v>TP-131 ﾊﾝﾖｳ</v>
      </c>
      <c r="AP293">
        <v>100</v>
      </c>
      <c r="AQ293" t="str">
        <f>""</f>
        <v/>
      </c>
      <c r="AR293" t="str">
        <f>""</f>
        <v/>
      </c>
      <c r="AS293" t="str">
        <f>""</f>
        <v/>
      </c>
      <c r="AT293" t="str">
        <f t="shared" si="293"/>
        <v>00</v>
      </c>
      <c r="AU293">
        <v>0.5</v>
      </c>
      <c r="AV293" t="str">
        <f>""</f>
        <v/>
      </c>
      <c r="AW293" t="str">
        <f t="shared" si="315"/>
        <v>06</v>
      </c>
      <c r="AX293" t="str">
        <f t="shared" si="316"/>
        <v>計画</v>
      </c>
      <c r="AY293" t="str">
        <f t="shared" si="317"/>
        <v>02</v>
      </c>
      <c r="AZ293" t="str">
        <f t="shared" si="318"/>
        <v>計画・２社</v>
      </c>
      <c r="BA293" t="str">
        <f>""</f>
        <v/>
      </c>
      <c r="BB293" t="str">
        <f t="shared" si="294"/>
        <v>ＴＰ１３１フタナシ</v>
      </c>
      <c r="BC293" t="str">
        <f t="shared" si="295"/>
        <v xml:space="preserve"> 335.000</v>
      </c>
      <c r="BD293" t="str">
        <f t="shared" si="296"/>
        <v xml:space="preserve"> 168.000</v>
      </c>
      <c r="BE293" t="str">
        <f t="shared" si="297"/>
        <v xml:space="preserve"> 103.000</v>
      </c>
      <c r="BF293" t="str">
        <f t="shared" si="298"/>
        <v xml:space="preserve">   0.006</v>
      </c>
      <c r="BG293" t="str">
        <f t="shared" si="323"/>
        <v xml:space="preserve">   6.500</v>
      </c>
      <c r="BH293" t="str">
        <f t="shared" si="324"/>
        <v>しない</v>
      </c>
      <c r="BI293" t="str">
        <f>""</f>
        <v/>
      </c>
      <c r="BJ293" t="str">
        <f t="shared" si="321"/>
        <v>MASTER01</v>
      </c>
      <c r="BK293" t="str">
        <f t="shared" si="286"/>
        <v>2022/04/19</v>
      </c>
      <c r="BL293" t="str">
        <f t="shared" si="309"/>
        <v>NE00</v>
      </c>
      <c r="BM293" t="str">
        <f t="shared" si="310"/>
        <v>１工工務Ｇ</v>
      </c>
      <c r="BN293" t="str">
        <f t="shared" si="319"/>
        <v>46548</v>
      </c>
      <c r="BO293" t="str">
        <f t="shared" si="320"/>
        <v>長畑　玲奈</v>
      </c>
    </row>
    <row r="294" spans="1:67">
      <c r="A294" t="s">
        <v>376</v>
      </c>
      <c r="B294" t="str">
        <f>""</f>
        <v/>
      </c>
      <c r="C294" t="str">
        <f>""</f>
        <v/>
      </c>
      <c r="D294" t="str">
        <f t="shared" si="312"/>
        <v>SHIM</v>
      </c>
      <c r="E294" t="str">
        <f t="shared" si="299"/>
        <v>1Y</v>
      </c>
      <c r="F294" t="str">
        <f t="shared" si="300"/>
        <v>第１工場</v>
      </c>
      <c r="G294" t="str">
        <f t="shared" si="301"/>
        <v>手配</v>
      </c>
      <c r="H294" t="str">
        <f t="shared" si="302"/>
        <v>Ｐ</v>
      </c>
      <c r="I294" t="str">
        <f t="shared" si="287"/>
        <v>6454</v>
      </c>
      <c r="J294" t="str">
        <f t="shared" si="288"/>
        <v>（株）ムロコーポレーション</v>
      </c>
      <c r="K294" t="str">
        <f t="shared" si="285"/>
        <v>01</v>
      </c>
      <c r="L294" t="str">
        <f>""</f>
        <v/>
      </c>
      <c r="M294" t="str">
        <f t="shared" si="325"/>
        <v>――</v>
      </c>
      <c r="N294" t="str">
        <f t="shared" si="325"/>
        <v>――</v>
      </c>
      <c r="O294" t="str">
        <f t="shared" si="303"/>
        <v>Ｍ</v>
      </c>
      <c r="P294" t="str">
        <f t="shared" si="304"/>
        <v>01</v>
      </c>
      <c r="Q294" t="str">
        <f t="shared" si="305"/>
        <v>第１</v>
      </c>
      <c r="R294" t="str">
        <f t="shared" si="306"/>
        <v>1Y</v>
      </c>
      <c r="S294" t="str">
        <f t="shared" si="307"/>
        <v>安城第１工場</v>
      </c>
      <c r="T294" t="str">
        <f t="shared" si="308"/>
        <v>直接</v>
      </c>
      <c r="U294" t="str">
        <f>""</f>
        <v/>
      </c>
      <c r="V294" t="str">
        <f>""</f>
        <v/>
      </c>
      <c r="W294" t="str">
        <f>""</f>
        <v/>
      </c>
      <c r="X294">
        <v>1</v>
      </c>
      <c r="Y294">
        <v>1</v>
      </c>
      <c r="Z294">
        <v>0.73</v>
      </c>
      <c r="AA294">
        <v>0.93</v>
      </c>
      <c r="AB294">
        <v>3</v>
      </c>
      <c r="AC294">
        <v>0.93</v>
      </c>
      <c r="AD294">
        <v>0.93</v>
      </c>
      <c r="AE294">
        <v>1.1000000000000001</v>
      </c>
      <c r="AF294">
        <v>0.5</v>
      </c>
      <c r="AG294" t="str">
        <f t="shared" si="289"/>
        <v>205</v>
      </c>
      <c r="AH294" t="str">
        <f t="shared" si="290"/>
        <v>（株）ムロコーポレーション</v>
      </c>
      <c r="AI294" t="str">
        <f>"141"</f>
        <v>141</v>
      </c>
      <c r="AJ294" t="str">
        <f>"S-SM-3-49"</f>
        <v>S-SM-3-49</v>
      </c>
      <c r="AK294" t="str">
        <f>"10186"</f>
        <v>10186</v>
      </c>
      <c r="AL294" t="str">
        <f t="shared" si="313"/>
        <v>0370</v>
      </c>
      <c r="AM294" t="str">
        <f t="shared" si="314"/>
        <v>ｼﾑ</v>
      </c>
      <c r="AN294" t="str">
        <f t="shared" si="291"/>
        <v>012</v>
      </c>
      <c r="AO294" t="str">
        <f t="shared" si="292"/>
        <v>TP-131 ﾊﾝﾖｳ</v>
      </c>
      <c r="AP294">
        <v>100</v>
      </c>
      <c r="AQ294" t="str">
        <f>""</f>
        <v/>
      </c>
      <c r="AR294" t="str">
        <f>""</f>
        <v/>
      </c>
      <c r="AS294" t="str">
        <f>""</f>
        <v/>
      </c>
      <c r="AT294" t="str">
        <f t="shared" si="293"/>
        <v>00</v>
      </c>
      <c r="AU294">
        <v>0.5</v>
      </c>
      <c r="AV294" t="str">
        <f>""</f>
        <v/>
      </c>
      <c r="AW294" t="str">
        <f t="shared" si="315"/>
        <v>06</v>
      </c>
      <c r="AX294" t="str">
        <f t="shared" si="316"/>
        <v>計画</v>
      </c>
      <c r="AY294" t="str">
        <f t="shared" si="317"/>
        <v>02</v>
      </c>
      <c r="AZ294" t="str">
        <f t="shared" si="318"/>
        <v>計画・２社</v>
      </c>
      <c r="BA294" t="str">
        <f>""</f>
        <v/>
      </c>
      <c r="BB294" t="str">
        <f t="shared" si="294"/>
        <v>ＴＰ１３１フタナシ</v>
      </c>
      <c r="BC294" t="str">
        <f t="shared" si="295"/>
        <v xml:space="preserve"> 335.000</v>
      </c>
      <c r="BD294" t="str">
        <f t="shared" si="296"/>
        <v xml:space="preserve"> 168.000</v>
      </c>
      <c r="BE294" t="str">
        <f t="shared" si="297"/>
        <v xml:space="preserve"> 103.000</v>
      </c>
      <c r="BF294" t="str">
        <f t="shared" si="298"/>
        <v xml:space="preserve">   0.006</v>
      </c>
      <c r="BG294" t="str">
        <f t="shared" si="323"/>
        <v xml:space="preserve">   6.500</v>
      </c>
      <c r="BH294" t="str">
        <f t="shared" si="324"/>
        <v>しない</v>
      </c>
      <c r="BI294" t="str">
        <f>""</f>
        <v/>
      </c>
      <c r="BJ294" t="str">
        <f t="shared" si="321"/>
        <v>MASTER01</v>
      </c>
      <c r="BK294" t="str">
        <f t="shared" si="286"/>
        <v>2022/04/19</v>
      </c>
      <c r="BL294" t="str">
        <f t="shared" si="309"/>
        <v>NE00</v>
      </c>
      <c r="BM294" t="str">
        <f t="shared" si="310"/>
        <v>１工工務Ｇ</v>
      </c>
      <c r="BN294" t="str">
        <f t="shared" si="319"/>
        <v>46548</v>
      </c>
      <c r="BO294" t="str">
        <f t="shared" si="320"/>
        <v>長畑　玲奈</v>
      </c>
    </row>
    <row r="295" spans="1:67">
      <c r="A295" t="s">
        <v>377</v>
      </c>
      <c r="B295" t="str">
        <f>""</f>
        <v/>
      </c>
      <c r="C295" t="str">
        <f>""</f>
        <v/>
      </c>
      <c r="D295" t="str">
        <f t="shared" si="312"/>
        <v>SHIM</v>
      </c>
      <c r="E295" t="str">
        <f t="shared" si="299"/>
        <v>1Y</v>
      </c>
      <c r="F295" t="str">
        <f t="shared" si="300"/>
        <v>第１工場</v>
      </c>
      <c r="G295" t="str">
        <f t="shared" si="301"/>
        <v>手配</v>
      </c>
      <c r="H295" t="str">
        <f t="shared" si="302"/>
        <v>Ｐ</v>
      </c>
      <c r="I295" t="str">
        <f t="shared" si="287"/>
        <v>6454</v>
      </c>
      <c r="J295" t="str">
        <f t="shared" si="288"/>
        <v>（株）ムロコーポレーション</v>
      </c>
      <c r="K295" t="str">
        <f t="shared" si="285"/>
        <v>01</v>
      </c>
      <c r="L295" t="str">
        <f>""</f>
        <v/>
      </c>
      <c r="M295" t="str">
        <f t="shared" si="325"/>
        <v>――</v>
      </c>
      <c r="N295" t="str">
        <f t="shared" si="325"/>
        <v>――</v>
      </c>
      <c r="O295" t="str">
        <f t="shared" si="303"/>
        <v>Ｍ</v>
      </c>
      <c r="P295" t="str">
        <f t="shared" si="304"/>
        <v>01</v>
      </c>
      <c r="Q295" t="str">
        <f t="shared" si="305"/>
        <v>第１</v>
      </c>
      <c r="R295" t="str">
        <f t="shared" si="306"/>
        <v>1Y</v>
      </c>
      <c r="S295" t="str">
        <f t="shared" si="307"/>
        <v>安城第１工場</v>
      </c>
      <c r="T295" t="str">
        <f t="shared" si="308"/>
        <v>直接</v>
      </c>
      <c r="U295" t="str">
        <f>""</f>
        <v/>
      </c>
      <c r="V295" t="str">
        <f>""</f>
        <v/>
      </c>
      <c r="W295" t="str">
        <f>""</f>
        <v/>
      </c>
      <c r="X295">
        <v>1</v>
      </c>
      <c r="Y295">
        <v>1</v>
      </c>
      <c r="Z295">
        <v>0.73</v>
      </c>
      <c r="AA295">
        <v>0.93</v>
      </c>
      <c r="AB295">
        <v>3</v>
      </c>
      <c r="AC295">
        <v>0.93</v>
      </c>
      <c r="AD295">
        <v>0.93</v>
      </c>
      <c r="AE295">
        <v>1.1000000000000001</v>
      </c>
      <c r="AF295">
        <v>0.5</v>
      </c>
      <c r="AG295" t="str">
        <f t="shared" si="289"/>
        <v>205</v>
      </c>
      <c r="AH295" t="str">
        <f t="shared" si="290"/>
        <v>（株）ムロコーポレーション</v>
      </c>
      <c r="AI295" t="str">
        <f>"142"</f>
        <v>142</v>
      </c>
      <c r="AJ295" t="str">
        <f>"S-SM-3-50"</f>
        <v>S-SM-3-50</v>
      </c>
      <c r="AK295" t="str">
        <f>"10187"</f>
        <v>10187</v>
      </c>
      <c r="AL295" t="str">
        <f t="shared" si="313"/>
        <v>0370</v>
      </c>
      <c r="AM295" t="str">
        <f t="shared" si="314"/>
        <v>ｼﾑ</v>
      </c>
      <c r="AN295" t="str">
        <f t="shared" si="291"/>
        <v>012</v>
      </c>
      <c r="AO295" t="str">
        <f t="shared" si="292"/>
        <v>TP-131 ﾊﾝﾖｳ</v>
      </c>
      <c r="AP295">
        <v>100</v>
      </c>
      <c r="AQ295" t="str">
        <f>""</f>
        <v/>
      </c>
      <c r="AR295" t="str">
        <f>""</f>
        <v/>
      </c>
      <c r="AS295" t="str">
        <f>""</f>
        <v/>
      </c>
      <c r="AT295" t="str">
        <f t="shared" si="293"/>
        <v>00</v>
      </c>
      <c r="AU295">
        <v>0.5</v>
      </c>
      <c r="AV295" t="str">
        <f>""</f>
        <v/>
      </c>
      <c r="AW295" t="str">
        <f t="shared" si="315"/>
        <v>06</v>
      </c>
      <c r="AX295" t="str">
        <f t="shared" si="316"/>
        <v>計画</v>
      </c>
      <c r="AY295" t="str">
        <f t="shared" si="317"/>
        <v>02</v>
      </c>
      <c r="AZ295" t="str">
        <f t="shared" si="318"/>
        <v>計画・２社</v>
      </c>
      <c r="BA295" t="str">
        <f>""</f>
        <v/>
      </c>
      <c r="BB295" t="str">
        <f t="shared" si="294"/>
        <v>ＴＰ１３１フタナシ</v>
      </c>
      <c r="BC295" t="str">
        <f t="shared" si="295"/>
        <v xml:space="preserve"> 335.000</v>
      </c>
      <c r="BD295" t="str">
        <f t="shared" si="296"/>
        <v xml:space="preserve"> 168.000</v>
      </c>
      <c r="BE295" t="str">
        <f t="shared" si="297"/>
        <v xml:space="preserve"> 103.000</v>
      </c>
      <c r="BF295" t="str">
        <f t="shared" si="298"/>
        <v xml:space="preserve">   0.006</v>
      </c>
      <c r="BG295" t="str">
        <f t="shared" si="323"/>
        <v xml:space="preserve">   6.500</v>
      </c>
      <c r="BH295" t="str">
        <f t="shared" si="324"/>
        <v>しない</v>
      </c>
      <c r="BI295" t="str">
        <f>""</f>
        <v/>
      </c>
      <c r="BJ295" t="str">
        <f t="shared" si="321"/>
        <v>MASTER01</v>
      </c>
      <c r="BK295" t="str">
        <f t="shared" si="286"/>
        <v>2022/04/19</v>
      </c>
      <c r="BL295" t="str">
        <f t="shared" si="309"/>
        <v>NE00</v>
      </c>
      <c r="BM295" t="str">
        <f t="shared" si="310"/>
        <v>１工工務Ｇ</v>
      </c>
      <c r="BN295" t="str">
        <f t="shared" si="319"/>
        <v>46548</v>
      </c>
      <c r="BO295" t="str">
        <f t="shared" si="320"/>
        <v>長畑　玲奈</v>
      </c>
    </row>
    <row r="296" spans="1:67">
      <c r="A296" t="s">
        <v>378</v>
      </c>
      <c r="B296" t="str">
        <f>""</f>
        <v/>
      </c>
      <c r="C296" t="str">
        <f>""</f>
        <v/>
      </c>
      <c r="D296" t="str">
        <f t="shared" si="312"/>
        <v>SHIM</v>
      </c>
      <c r="E296" t="str">
        <f t="shared" si="299"/>
        <v>1Y</v>
      </c>
      <c r="F296" t="str">
        <f t="shared" si="300"/>
        <v>第１工場</v>
      </c>
      <c r="G296" t="str">
        <f t="shared" si="301"/>
        <v>手配</v>
      </c>
      <c r="H296" t="str">
        <f t="shared" si="302"/>
        <v>Ｐ</v>
      </c>
      <c r="I296" t="str">
        <f t="shared" si="287"/>
        <v>6454</v>
      </c>
      <c r="J296" t="str">
        <f t="shared" si="288"/>
        <v>（株）ムロコーポレーション</v>
      </c>
      <c r="K296" t="str">
        <f t="shared" si="285"/>
        <v>01</v>
      </c>
      <c r="L296" t="str">
        <f>""</f>
        <v/>
      </c>
      <c r="M296" t="str">
        <f t="shared" si="325"/>
        <v>――</v>
      </c>
      <c r="N296" t="str">
        <f t="shared" si="325"/>
        <v>――</v>
      </c>
      <c r="O296" t="str">
        <f t="shared" si="303"/>
        <v>Ｍ</v>
      </c>
      <c r="P296" t="str">
        <f t="shared" si="304"/>
        <v>01</v>
      </c>
      <c r="Q296" t="str">
        <f t="shared" si="305"/>
        <v>第１</v>
      </c>
      <c r="R296" t="str">
        <f t="shared" si="306"/>
        <v>1Y</v>
      </c>
      <c r="S296" t="str">
        <f t="shared" si="307"/>
        <v>安城第１工場</v>
      </c>
      <c r="T296" t="str">
        <f t="shared" si="308"/>
        <v>直接</v>
      </c>
      <c r="U296" t="str">
        <f>""</f>
        <v/>
      </c>
      <c r="V296" t="str">
        <f>""</f>
        <v/>
      </c>
      <c r="W296" t="str">
        <f>""</f>
        <v/>
      </c>
      <c r="X296">
        <v>1</v>
      </c>
      <c r="Y296">
        <v>1</v>
      </c>
      <c r="Z296">
        <v>0.73</v>
      </c>
      <c r="AA296">
        <v>0.93</v>
      </c>
      <c r="AB296">
        <v>3</v>
      </c>
      <c r="AC296">
        <v>0.93</v>
      </c>
      <c r="AD296">
        <v>0.93</v>
      </c>
      <c r="AE296">
        <v>1.1000000000000001</v>
      </c>
      <c r="AF296">
        <v>0.5</v>
      </c>
      <c r="AG296" t="str">
        <f t="shared" si="289"/>
        <v>205</v>
      </c>
      <c r="AH296" t="str">
        <f t="shared" si="290"/>
        <v>（株）ムロコーポレーション</v>
      </c>
      <c r="AI296" t="str">
        <f>"143"</f>
        <v>143</v>
      </c>
      <c r="AJ296" t="str">
        <f>"S-SM-4-1"</f>
        <v>S-SM-4-1</v>
      </c>
      <c r="AK296" t="str">
        <f>"10188"</f>
        <v>10188</v>
      </c>
      <c r="AL296" t="str">
        <f t="shared" si="313"/>
        <v>0370</v>
      </c>
      <c r="AM296" t="str">
        <f t="shared" si="314"/>
        <v>ｼﾑ</v>
      </c>
      <c r="AN296" t="str">
        <f t="shared" si="291"/>
        <v>012</v>
      </c>
      <c r="AO296" t="str">
        <f t="shared" si="292"/>
        <v>TP-131 ﾊﾝﾖｳ</v>
      </c>
      <c r="AP296">
        <v>100</v>
      </c>
      <c r="AQ296" t="str">
        <f>""</f>
        <v/>
      </c>
      <c r="AR296" t="str">
        <f>""</f>
        <v/>
      </c>
      <c r="AS296" t="str">
        <f>""</f>
        <v/>
      </c>
      <c r="AT296" t="str">
        <f t="shared" si="293"/>
        <v>00</v>
      </c>
      <c r="AU296">
        <v>0.5</v>
      </c>
      <c r="AV296" t="str">
        <f>""</f>
        <v/>
      </c>
      <c r="AW296" t="str">
        <f t="shared" si="315"/>
        <v>06</v>
      </c>
      <c r="AX296" t="str">
        <f t="shared" si="316"/>
        <v>計画</v>
      </c>
      <c r="AY296" t="str">
        <f t="shared" si="317"/>
        <v>02</v>
      </c>
      <c r="AZ296" t="str">
        <f t="shared" si="318"/>
        <v>計画・２社</v>
      </c>
      <c r="BA296" t="str">
        <f>""</f>
        <v/>
      </c>
      <c r="BB296" t="str">
        <f t="shared" si="294"/>
        <v>ＴＰ１３１フタナシ</v>
      </c>
      <c r="BC296" t="str">
        <f t="shared" si="295"/>
        <v xml:space="preserve"> 335.000</v>
      </c>
      <c r="BD296" t="str">
        <f t="shared" si="296"/>
        <v xml:space="preserve"> 168.000</v>
      </c>
      <c r="BE296" t="str">
        <f t="shared" si="297"/>
        <v xml:space="preserve"> 103.000</v>
      </c>
      <c r="BF296" t="str">
        <f t="shared" si="298"/>
        <v xml:space="preserve">   0.006</v>
      </c>
      <c r="BG296" t="str">
        <f t="shared" si="323"/>
        <v xml:space="preserve">   6.500</v>
      </c>
      <c r="BH296" t="str">
        <f t="shared" si="324"/>
        <v>しない</v>
      </c>
      <c r="BI296" t="str">
        <f>""</f>
        <v/>
      </c>
      <c r="BJ296" t="str">
        <f t="shared" si="321"/>
        <v>MASTER01</v>
      </c>
      <c r="BK296" t="str">
        <f t="shared" si="286"/>
        <v>2022/04/19</v>
      </c>
      <c r="BL296" t="str">
        <f t="shared" si="309"/>
        <v>NE00</v>
      </c>
      <c r="BM296" t="str">
        <f t="shared" si="310"/>
        <v>１工工務Ｇ</v>
      </c>
      <c r="BN296" t="str">
        <f t="shared" si="319"/>
        <v>46548</v>
      </c>
      <c r="BO296" t="str">
        <f t="shared" si="320"/>
        <v>長畑　玲奈</v>
      </c>
    </row>
    <row r="297" spans="1:67">
      <c r="A297" t="s">
        <v>379</v>
      </c>
      <c r="B297" t="str">
        <f>""</f>
        <v/>
      </c>
      <c r="C297" t="str">
        <f>""</f>
        <v/>
      </c>
      <c r="D297" t="str">
        <f t="shared" si="312"/>
        <v>SHIM</v>
      </c>
      <c r="E297" t="str">
        <f t="shared" si="299"/>
        <v>1Y</v>
      </c>
      <c r="F297" t="str">
        <f t="shared" si="300"/>
        <v>第１工場</v>
      </c>
      <c r="G297" t="str">
        <f t="shared" si="301"/>
        <v>手配</v>
      </c>
      <c r="H297" t="str">
        <f t="shared" si="302"/>
        <v>Ｐ</v>
      </c>
      <c r="I297" t="str">
        <f t="shared" si="287"/>
        <v>6454</v>
      </c>
      <c r="J297" t="str">
        <f t="shared" si="288"/>
        <v>（株）ムロコーポレーション</v>
      </c>
      <c r="K297" t="str">
        <f t="shared" si="285"/>
        <v>01</v>
      </c>
      <c r="L297" t="str">
        <f>""</f>
        <v/>
      </c>
      <c r="M297" t="str">
        <f t="shared" si="325"/>
        <v>――</v>
      </c>
      <c r="N297" t="str">
        <f t="shared" si="325"/>
        <v>――</v>
      </c>
      <c r="O297" t="str">
        <f t="shared" si="303"/>
        <v>Ｍ</v>
      </c>
      <c r="P297" t="str">
        <f t="shared" si="304"/>
        <v>01</v>
      </c>
      <c r="Q297" t="str">
        <f t="shared" si="305"/>
        <v>第１</v>
      </c>
      <c r="R297" t="str">
        <f t="shared" si="306"/>
        <v>1Y</v>
      </c>
      <c r="S297" t="str">
        <f t="shared" si="307"/>
        <v>安城第１工場</v>
      </c>
      <c r="T297" t="str">
        <f t="shared" si="308"/>
        <v>直接</v>
      </c>
      <c r="U297" t="str">
        <f>""</f>
        <v/>
      </c>
      <c r="V297" t="str">
        <f>""</f>
        <v/>
      </c>
      <c r="W297" t="str">
        <f>""</f>
        <v/>
      </c>
      <c r="X297">
        <v>1</v>
      </c>
      <c r="Y297">
        <v>1</v>
      </c>
      <c r="Z297">
        <v>0.73</v>
      </c>
      <c r="AA297">
        <v>0.93</v>
      </c>
      <c r="AB297">
        <v>3</v>
      </c>
      <c r="AC297">
        <v>0.93</v>
      </c>
      <c r="AD297">
        <v>0.93</v>
      </c>
      <c r="AE297">
        <v>1.1000000000000001</v>
      </c>
      <c r="AF297">
        <v>0.5</v>
      </c>
      <c r="AG297" t="str">
        <f t="shared" si="289"/>
        <v>205</v>
      </c>
      <c r="AH297" t="str">
        <f t="shared" si="290"/>
        <v>（株）ムロコーポレーション</v>
      </c>
      <c r="AI297" t="str">
        <f>"144"</f>
        <v>144</v>
      </c>
      <c r="AJ297" t="str">
        <f>"S-SM-4-2"</f>
        <v>S-SM-4-2</v>
      </c>
      <c r="AK297" t="str">
        <f>"10189"</f>
        <v>10189</v>
      </c>
      <c r="AL297" t="str">
        <f t="shared" si="313"/>
        <v>0370</v>
      </c>
      <c r="AM297" t="str">
        <f t="shared" si="314"/>
        <v>ｼﾑ</v>
      </c>
      <c r="AN297" t="str">
        <f t="shared" si="291"/>
        <v>012</v>
      </c>
      <c r="AO297" t="str">
        <f t="shared" si="292"/>
        <v>TP-131 ﾊﾝﾖｳ</v>
      </c>
      <c r="AP297">
        <v>100</v>
      </c>
      <c r="AQ297" t="str">
        <f>""</f>
        <v/>
      </c>
      <c r="AR297" t="str">
        <f>""</f>
        <v/>
      </c>
      <c r="AS297" t="str">
        <f>""</f>
        <v/>
      </c>
      <c r="AT297" t="str">
        <f t="shared" si="293"/>
        <v>00</v>
      </c>
      <c r="AU297">
        <v>0.5</v>
      </c>
      <c r="AV297" t="str">
        <f>""</f>
        <v/>
      </c>
      <c r="AW297" t="str">
        <f t="shared" si="315"/>
        <v>06</v>
      </c>
      <c r="AX297" t="str">
        <f t="shared" si="316"/>
        <v>計画</v>
      </c>
      <c r="AY297" t="str">
        <f t="shared" si="317"/>
        <v>02</v>
      </c>
      <c r="AZ297" t="str">
        <f t="shared" si="318"/>
        <v>計画・２社</v>
      </c>
      <c r="BA297" t="str">
        <f>""</f>
        <v/>
      </c>
      <c r="BB297" t="str">
        <f t="shared" si="294"/>
        <v>ＴＰ１３１フタナシ</v>
      </c>
      <c r="BC297" t="str">
        <f t="shared" si="295"/>
        <v xml:space="preserve"> 335.000</v>
      </c>
      <c r="BD297" t="str">
        <f t="shared" si="296"/>
        <v xml:space="preserve"> 168.000</v>
      </c>
      <c r="BE297" t="str">
        <f t="shared" si="297"/>
        <v xml:space="preserve"> 103.000</v>
      </c>
      <c r="BF297" t="str">
        <f t="shared" si="298"/>
        <v xml:space="preserve">   0.006</v>
      </c>
      <c r="BG297" t="str">
        <f t="shared" si="323"/>
        <v xml:space="preserve">   6.500</v>
      </c>
      <c r="BH297" t="str">
        <f t="shared" si="324"/>
        <v>しない</v>
      </c>
      <c r="BI297" t="str">
        <f>""</f>
        <v/>
      </c>
      <c r="BJ297" t="str">
        <f t="shared" si="321"/>
        <v>MASTER01</v>
      </c>
      <c r="BK297" t="str">
        <f t="shared" si="286"/>
        <v>2022/04/19</v>
      </c>
      <c r="BL297" t="str">
        <f t="shared" si="309"/>
        <v>NE00</v>
      </c>
      <c r="BM297" t="str">
        <f t="shared" si="310"/>
        <v>１工工務Ｇ</v>
      </c>
      <c r="BN297" t="str">
        <f t="shared" si="319"/>
        <v>46548</v>
      </c>
      <c r="BO297" t="str">
        <f t="shared" si="320"/>
        <v>長畑　玲奈</v>
      </c>
    </row>
    <row r="298" spans="1:67">
      <c r="A298" t="s">
        <v>380</v>
      </c>
      <c r="B298" t="str">
        <f>""</f>
        <v/>
      </c>
      <c r="C298" t="str">
        <f>""</f>
        <v/>
      </c>
      <c r="D298" t="str">
        <f t="shared" si="312"/>
        <v>SHIM</v>
      </c>
      <c r="E298" t="str">
        <f t="shared" si="299"/>
        <v>1Y</v>
      </c>
      <c r="F298" t="str">
        <f t="shared" si="300"/>
        <v>第１工場</v>
      </c>
      <c r="G298" t="str">
        <f t="shared" si="301"/>
        <v>手配</v>
      </c>
      <c r="H298" t="str">
        <f t="shared" si="302"/>
        <v>Ｐ</v>
      </c>
      <c r="I298" t="str">
        <f t="shared" si="287"/>
        <v>6454</v>
      </c>
      <c r="J298" t="str">
        <f t="shared" si="288"/>
        <v>（株）ムロコーポレーション</v>
      </c>
      <c r="K298" t="str">
        <f t="shared" si="285"/>
        <v>01</v>
      </c>
      <c r="L298" t="str">
        <f>""</f>
        <v/>
      </c>
      <c r="M298" t="str">
        <f t="shared" si="325"/>
        <v>――</v>
      </c>
      <c r="N298" t="str">
        <f t="shared" si="325"/>
        <v>――</v>
      </c>
      <c r="O298" t="str">
        <f t="shared" si="303"/>
        <v>Ｍ</v>
      </c>
      <c r="P298" t="str">
        <f t="shared" si="304"/>
        <v>01</v>
      </c>
      <c r="Q298" t="str">
        <f t="shared" si="305"/>
        <v>第１</v>
      </c>
      <c r="R298" t="str">
        <f t="shared" si="306"/>
        <v>1Y</v>
      </c>
      <c r="S298" t="str">
        <f t="shared" si="307"/>
        <v>安城第１工場</v>
      </c>
      <c r="T298" t="str">
        <f t="shared" si="308"/>
        <v>直接</v>
      </c>
      <c r="U298" t="str">
        <f>""</f>
        <v/>
      </c>
      <c r="V298" t="str">
        <f>""</f>
        <v/>
      </c>
      <c r="W298" t="str">
        <f>""</f>
        <v/>
      </c>
      <c r="X298">
        <v>1</v>
      </c>
      <c r="Y298">
        <v>1</v>
      </c>
      <c r="Z298">
        <v>0.73</v>
      </c>
      <c r="AA298">
        <v>0.93</v>
      </c>
      <c r="AB298">
        <v>3</v>
      </c>
      <c r="AC298">
        <v>0.93</v>
      </c>
      <c r="AD298">
        <v>0.93</v>
      </c>
      <c r="AE298">
        <v>1.1000000000000001</v>
      </c>
      <c r="AF298">
        <v>0.5</v>
      </c>
      <c r="AG298" t="str">
        <f t="shared" si="289"/>
        <v>205</v>
      </c>
      <c r="AH298" t="str">
        <f t="shared" si="290"/>
        <v>（株）ムロコーポレーション</v>
      </c>
      <c r="AI298" t="str">
        <f>"145"</f>
        <v>145</v>
      </c>
      <c r="AJ298" t="str">
        <f>"S-SM-4-3"</f>
        <v>S-SM-4-3</v>
      </c>
      <c r="AK298" t="str">
        <f>"10190"</f>
        <v>10190</v>
      </c>
      <c r="AL298" t="str">
        <f t="shared" si="313"/>
        <v>0370</v>
      </c>
      <c r="AM298" t="str">
        <f t="shared" si="314"/>
        <v>ｼﾑ</v>
      </c>
      <c r="AN298" t="str">
        <f t="shared" si="291"/>
        <v>012</v>
      </c>
      <c r="AO298" t="str">
        <f t="shared" si="292"/>
        <v>TP-131 ﾊﾝﾖｳ</v>
      </c>
      <c r="AP298">
        <v>100</v>
      </c>
      <c r="AQ298" t="str">
        <f>""</f>
        <v/>
      </c>
      <c r="AR298" t="str">
        <f>""</f>
        <v/>
      </c>
      <c r="AS298" t="str">
        <f>""</f>
        <v/>
      </c>
      <c r="AT298" t="str">
        <f t="shared" si="293"/>
        <v>00</v>
      </c>
      <c r="AU298">
        <v>0.5</v>
      </c>
      <c r="AV298" t="str">
        <f>""</f>
        <v/>
      </c>
      <c r="AW298" t="str">
        <f t="shared" si="315"/>
        <v>06</v>
      </c>
      <c r="AX298" t="str">
        <f t="shared" si="316"/>
        <v>計画</v>
      </c>
      <c r="AY298" t="str">
        <f t="shared" si="317"/>
        <v>02</v>
      </c>
      <c r="AZ298" t="str">
        <f t="shared" si="318"/>
        <v>計画・２社</v>
      </c>
      <c r="BA298" t="str">
        <f>""</f>
        <v/>
      </c>
      <c r="BB298" t="str">
        <f t="shared" si="294"/>
        <v>ＴＰ１３１フタナシ</v>
      </c>
      <c r="BC298" t="str">
        <f t="shared" si="295"/>
        <v xml:space="preserve"> 335.000</v>
      </c>
      <c r="BD298" t="str">
        <f t="shared" si="296"/>
        <v xml:space="preserve"> 168.000</v>
      </c>
      <c r="BE298" t="str">
        <f t="shared" si="297"/>
        <v xml:space="preserve"> 103.000</v>
      </c>
      <c r="BF298" t="str">
        <f t="shared" si="298"/>
        <v xml:space="preserve">   0.006</v>
      </c>
      <c r="BG298" t="str">
        <f t="shared" si="323"/>
        <v xml:space="preserve">   6.500</v>
      </c>
      <c r="BH298" t="str">
        <f t="shared" si="324"/>
        <v>しない</v>
      </c>
      <c r="BI298" t="str">
        <f>""</f>
        <v/>
      </c>
      <c r="BJ298" t="str">
        <f t="shared" si="321"/>
        <v>MASTER01</v>
      </c>
      <c r="BK298" t="str">
        <f t="shared" si="286"/>
        <v>2022/04/19</v>
      </c>
      <c r="BL298" t="str">
        <f t="shared" si="309"/>
        <v>NE00</v>
      </c>
      <c r="BM298" t="str">
        <f t="shared" si="310"/>
        <v>１工工務Ｇ</v>
      </c>
      <c r="BN298" t="str">
        <f t="shared" si="319"/>
        <v>46548</v>
      </c>
      <c r="BO298" t="str">
        <f t="shared" si="320"/>
        <v>長畑　玲奈</v>
      </c>
    </row>
    <row r="299" spans="1:67">
      <c r="A299" t="s">
        <v>381</v>
      </c>
      <c r="B299" t="str">
        <f>""</f>
        <v/>
      </c>
      <c r="C299" t="str">
        <f>""</f>
        <v/>
      </c>
      <c r="D299" t="str">
        <f t="shared" si="312"/>
        <v>SHIM</v>
      </c>
      <c r="E299" t="str">
        <f t="shared" si="299"/>
        <v>1Y</v>
      </c>
      <c r="F299" t="str">
        <f t="shared" si="300"/>
        <v>第１工場</v>
      </c>
      <c r="G299" t="str">
        <f t="shared" si="301"/>
        <v>手配</v>
      </c>
      <c r="H299" t="str">
        <f t="shared" si="302"/>
        <v>Ｐ</v>
      </c>
      <c r="I299" t="str">
        <f t="shared" si="287"/>
        <v>6454</v>
      </c>
      <c r="J299" t="str">
        <f t="shared" si="288"/>
        <v>（株）ムロコーポレーション</v>
      </c>
      <c r="K299" t="str">
        <f t="shared" si="285"/>
        <v>01</v>
      </c>
      <c r="L299" t="str">
        <f>""</f>
        <v/>
      </c>
      <c r="M299" t="str">
        <f t="shared" si="325"/>
        <v>――</v>
      </c>
      <c r="N299" t="str">
        <f t="shared" si="325"/>
        <v>――</v>
      </c>
      <c r="O299" t="str">
        <f t="shared" si="303"/>
        <v>Ｍ</v>
      </c>
      <c r="P299" t="str">
        <f t="shared" si="304"/>
        <v>01</v>
      </c>
      <c r="Q299" t="str">
        <f t="shared" si="305"/>
        <v>第１</v>
      </c>
      <c r="R299" t="str">
        <f t="shared" si="306"/>
        <v>1Y</v>
      </c>
      <c r="S299" t="str">
        <f t="shared" si="307"/>
        <v>安城第１工場</v>
      </c>
      <c r="T299" t="str">
        <f t="shared" si="308"/>
        <v>直接</v>
      </c>
      <c r="U299" t="str">
        <f>""</f>
        <v/>
      </c>
      <c r="V299" t="str">
        <f>""</f>
        <v/>
      </c>
      <c r="W299" t="str">
        <f>""</f>
        <v/>
      </c>
      <c r="X299">
        <v>1</v>
      </c>
      <c r="Y299">
        <v>1</v>
      </c>
      <c r="Z299">
        <v>0.73</v>
      </c>
      <c r="AA299">
        <v>0.93</v>
      </c>
      <c r="AB299">
        <v>3</v>
      </c>
      <c r="AC299">
        <v>0.93</v>
      </c>
      <c r="AD299">
        <v>0.93</v>
      </c>
      <c r="AE299">
        <v>1.1000000000000001</v>
      </c>
      <c r="AF299">
        <v>0.5</v>
      </c>
      <c r="AG299" t="str">
        <f t="shared" si="289"/>
        <v>205</v>
      </c>
      <c r="AH299" t="str">
        <f t="shared" si="290"/>
        <v>（株）ムロコーポレーション</v>
      </c>
      <c r="AI299" t="str">
        <f>"146"</f>
        <v>146</v>
      </c>
      <c r="AJ299" t="str">
        <f>"S-SM-4-4"</f>
        <v>S-SM-4-4</v>
      </c>
      <c r="AK299" t="str">
        <f>"10191"</f>
        <v>10191</v>
      </c>
      <c r="AL299" t="str">
        <f t="shared" si="313"/>
        <v>0370</v>
      </c>
      <c r="AM299" t="str">
        <f t="shared" si="314"/>
        <v>ｼﾑ</v>
      </c>
      <c r="AN299" t="str">
        <f t="shared" si="291"/>
        <v>012</v>
      </c>
      <c r="AO299" t="str">
        <f t="shared" si="292"/>
        <v>TP-131 ﾊﾝﾖｳ</v>
      </c>
      <c r="AP299">
        <v>100</v>
      </c>
      <c r="AQ299" t="str">
        <f>""</f>
        <v/>
      </c>
      <c r="AR299" t="str">
        <f>""</f>
        <v/>
      </c>
      <c r="AS299" t="str">
        <f>""</f>
        <v/>
      </c>
      <c r="AT299" t="str">
        <f t="shared" si="293"/>
        <v>00</v>
      </c>
      <c r="AU299">
        <v>0.5</v>
      </c>
      <c r="AV299" t="str">
        <f>""</f>
        <v/>
      </c>
      <c r="AW299" t="str">
        <f t="shared" si="315"/>
        <v>06</v>
      </c>
      <c r="AX299" t="str">
        <f t="shared" si="316"/>
        <v>計画</v>
      </c>
      <c r="AY299" t="str">
        <f t="shared" si="317"/>
        <v>02</v>
      </c>
      <c r="AZ299" t="str">
        <f t="shared" si="318"/>
        <v>計画・２社</v>
      </c>
      <c r="BA299" t="str">
        <f>""</f>
        <v/>
      </c>
      <c r="BB299" t="str">
        <f t="shared" si="294"/>
        <v>ＴＰ１３１フタナシ</v>
      </c>
      <c r="BC299" t="str">
        <f t="shared" si="295"/>
        <v xml:space="preserve"> 335.000</v>
      </c>
      <c r="BD299" t="str">
        <f t="shared" si="296"/>
        <v xml:space="preserve"> 168.000</v>
      </c>
      <c r="BE299" t="str">
        <f t="shared" si="297"/>
        <v xml:space="preserve"> 103.000</v>
      </c>
      <c r="BF299" t="str">
        <f t="shared" si="298"/>
        <v xml:space="preserve">   0.006</v>
      </c>
      <c r="BG299" t="str">
        <f t="shared" si="323"/>
        <v xml:space="preserve">   6.500</v>
      </c>
      <c r="BH299" t="str">
        <f t="shared" si="324"/>
        <v>しない</v>
      </c>
      <c r="BI299" t="str">
        <f>""</f>
        <v/>
      </c>
      <c r="BJ299" t="str">
        <f t="shared" si="321"/>
        <v>MASTER01</v>
      </c>
      <c r="BK299" t="str">
        <f t="shared" si="286"/>
        <v>2022/04/19</v>
      </c>
      <c r="BL299" t="str">
        <f t="shared" si="309"/>
        <v>NE00</v>
      </c>
      <c r="BM299" t="str">
        <f t="shared" si="310"/>
        <v>１工工務Ｇ</v>
      </c>
      <c r="BN299" t="str">
        <f t="shared" si="319"/>
        <v>46548</v>
      </c>
      <c r="BO299" t="str">
        <f t="shared" si="320"/>
        <v>長畑　玲奈</v>
      </c>
    </row>
    <row r="300" spans="1:67">
      <c r="A300" t="s">
        <v>382</v>
      </c>
      <c r="B300" t="str">
        <f>""</f>
        <v/>
      </c>
      <c r="C300" t="str">
        <f>""</f>
        <v/>
      </c>
      <c r="D300" t="str">
        <f t="shared" si="312"/>
        <v>SHIM</v>
      </c>
      <c r="E300" t="str">
        <f t="shared" si="299"/>
        <v>1Y</v>
      </c>
      <c r="F300" t="str">
        <f t="shared" si="300"/>
        <v>第１工場</v>
      </c>
      <c r="G300" t="str">
        <f t="shared" si="301"/>
        <v>手配</v>
      </c>
      <c r="H300" t="str">
        <f t="shared" si="302"/>
        <v>Ｐ</v>
      </c>
      <c r="I300" t="str">
        <f t="shared" si="287"/>
        <v>6454</v>
      </c>
      <c r="J300" t="str">
        <f t="shared" si="288"/>
        <v>（株）ムロコーポレーション</v>
      </c>
      <c r="K300" t="str">
        <f t="shared" si="285"/>
        <v>01</v>
      </c>
      <c r="L300" t="str">
        <f>""</f>
        <v/>
      </c>
      <c r="M300" t="str">
        <f t="shared" si="325"/>
        <v>――</v>
      </c>
      <c r="N300" t="str">
        <f t="shared" si="325"/>
        <v>――</v>
      </c>
      <c r="O300" t="str">
        <f t="shared" si="303"/>
        <v>Ｍ</v>
      </c>
      <c r="P300" t="str">
        <f t="shared" si="304"/>
        <v>01</v>
      </c>
      <c r="Q300" t="str">
        <f t="shared" si="305"/>
        <v>第１</v>
      </c>
      <c r="R300" t="str">
        <f t="shared" si="306"/>
        <v>1Y</v>
      </c>
      <c r="S300" t="str">
        <f t="shared" si="307"/>
        <v>安城第１工場</v>
      </c>
      <c r="T300" t="str">
        <f t="shared" si="308"/>
        <v>直接</v>
      </c>
      <c r="U300" t="str">
        <f>""</f>
        <v/>
      </c>
      <c r="V300" t="str">
        <f>""</f>
        <v/>
      </c>
      <c r="W300" t="str">
        <f>""</f>
        <v/>
      </c>
      <c r="X300">
        <v>1</v>
      </c>
      <c r="Y300">
        <v>1</v>
      </c>
      <c r="Z300">
        <v>0.73</v>
      </c>
      <c r="AA300">
        <v>0.93</v>
      </c>
      <c r="AB300">
        <v>3</v>
      </c>
      <c r="AC300">
        <v>0.93</v>
      </c>
      <c r="AD300">
        <v>0.93</v>
      </c>
      <c r="AE300">
        <v>1.1000000000000001</v>
      </c>
      <c r="AF300">
        <v>0.5</v>
      </c>
      <c r="AG300" t="str">
        <f t="shared" si="289"/>
        <v>205</v>
      </c>
      <c r="AH300" t="str">
        <f t="shared" si="290"/>
        <v>（株）ムロコーポレーション</v>
      </c>
      <c r="AI300" t="str">
        <f>"147"</f>
        <v>147</v>
      </c>
      <c r="AJ300" t="str">
        <f>"S-SM-4-5"</f>
        <v>S-SM-4-5</v>
      </c>
      <c r="AK300" t="str">
        <f>"10192"</f>
        <v>10192</v>
      </c>
      <c r="AL300" t="str">
        <f t="shared" si="313"/>
        <v>0370</v>
      </c>
      <c r="AM300" t="str">
        <f t="shared" si="314"/>
        <v>ｼﾑ</v>
      </c>
      <c r="AN300" t="str">
        <f t="shared" si="291"/>
        <v>012</v>
      </c>
      <c r="AO300" t="str">
        <f t="shared" si="292"/>
        <v>TP-131 ﾊﾝﾖｳ</v>
      </c>
      <c r="AP300">
        <v>100</v>
      </c>
      <c r="AQ300" t="str">
        <f>""</f>
        <v/>
      </c>
      <c r="AR300" t="str">
        <f>""</f>
        <v/>
      </c>
      <c r="AS300" t="str">
        <f>""</f>
        <v/>
      </c>
      <c r="AT300" t="str">
        <f t="shared" si="293"/>
        <v>00</v>
      </c>
      <c r="AU300">
        <v>0.5</v>
      </c>
      <c r="AV300" t="str">
        <f>""</f>
        <v/>
      </c>
      <c r="AW300" t="str">
        <f t="shared" si="315"/>
        <v>06</v>
      </c>
      <c r="AX300" t="str">
        <f t="shared" si="316"/>
        <v>計画</v>
      </c>
      <c r="AY300" t="str">
        <f t="shared" si="317"/>
        <v>02</v>
      </c>
      <c r="AZ300" t="str">
        <f t="shared" si="318"/>
        <v>計画・２社</v>
      </c>
      <c r="BA300" t="str">
        <f>""</f>
        <v/>
      </c>
      <c r="BB300" t="str">
        <f t="shared" si="294"/>
        <v>ＴＰ１３１フタナシ</v>
      </c>
      <c r="BC300" t="str">
        <f t="shared" si="295"/>
        <v xml:space="preserve"> 335.000</v>
      </c>
      <c r="BD300" t="str">
        <f t="shared" si="296"/>
        <v xml:space="preserve"> 168.000</v>
      </c>
      <c r="BE300" t="str">
        <f t="shared" si="297"/>
        <v xml:space="preserve"> 103.000</v>
      </c>
      <c r="BF300" t="str">
        <f t="shared" si="298"/>
        <v xml:space="preserve">   0.006</v>
      </c>
      <c r="BG300" t="str">
        <f t="shared" si="323"/>
        <v xml:space="preserve">   6.500</v>
      </c>
      <c r="BH300" t="str">
        <f t="shared" si="324"/>
        <v>しない</v>
      </c>
      <c r="BI300" t="str">
        <f>""</f>
        <v/>
      </c>
      <c r="BJ300" t="str">
        <f t="shared" si="321"/>
        <v>MASTER01</v>
      </c>
      <c r="BK300" t="str">
        <f t="shared" si="286"/>
        <v>2022/04/19</v>
      </c>
      <c r="BL300" t="str">
        <f t="shared" si="309"/>
        <v>NE00</v>
      </c>
      <c r="BM300" t="str">
        <f t="shared" si="310"/>
        <v>１工工務Ｇ</v>
      </c>
      <c r="BN300" t="str">
        <f t="shared" si="319"/>
        <v>46548</v>
      </c>
      <c r="BO300" t="str">
        <f t="shared" si="320"/>
        <v>長畑　玲奈</v>
      </c>
    </row>
    <row r="301" spans="1:67">
      <c r="A301" t="s">
        <v>383</v>
      </c>
      <c r="B301" t="str">
        <f>""</f>
        <v/>
      </c>
      <c r="C301" t="str">
        <f>""</f>
        <v/>
      </c>
      <c r="D301" t="str">
        <f t="shared" si="312"/>
        <v>SHIM</v>
      </c>
      <c r="E301" t="str">
        <f t="shared" si="299"/>
        <v>1Y</v>
      </c>
      <c r="F301" t="str">
        <f t="shared" si="300"/>
        <v>第１工場</v>
      </c>
      <c r="G301" t="str">
        <f t="shared" si="301"/>
        <v>手配</v>
      </c>
      <c r="H301" t="str">
        <f t="shared" si="302"/>
        <v>Ｐ</v>
      </c>
      <c r="I301" t="str">
        <f t="shared" si="287"/>
        <v>6454</v>
      </c>
      <c r="J301" t="str">
        <f t="shared" si="288"/>
        <v>（株）ムロコーポレーション</v>
      </c>
      <c r="K301" t="str">
        <f t="shared" si="285"/>
        <v>01</v>
      </c>
      <c r="L301" t="str">
        <f>""</f>
        <v/>
      </c>
      <c r="M301" t="str">
        <f t="shared" si="325"/>
        <v>――</v>
      </c>
      <c r="N301" t="str">
        <f t="shared" si="325"/>
        <v>――</v>
      </c>
      <c r="O301" t="str">
        <f t="shared" si="303"/>
        <v>Ｍ</v>
      </c>
      <c r="P301" t="str">
        <f t="shared" si="304"/>
        <v>01</v>
      </c>
      <c r="Q301" t="str">
        <f t="shared" si="305"/>
        <v>第１</v>
      </c>
      <c r="R301" t="str">
        <f t="shared" si="306"/>
        <v>1Y</v>
      </c>
      <c r="S301" t="str">
        <f t="shared" si="307"/>
        <v>安城第１工場</v>
      </c>
      <c r="T301" t="str">
        <f t="shared" si="308"/>
        <v>直接</v>
      </c>
      <c r="U301" t="str">
        <f>""</f>
        <v/>
      </c>
      <c r="V301" t="str">
        <f>""</f>
        <v/>
      </c>
      <c r="W301" t="str">
        <f>""</f>
        <v/>
      </c>
      <c r="X301">
        <v>1</v>
      </c>
      <c r="Y301">
        <v>1</v>
      </c>
      <c r="Z301">
        <v>0.73</v>
      </c>
      <c r="AA301">
        <v>0.93</v>
      </c>
      <c r="AB301">
        <v>3</v>
      </c>
      <c r="AC301">
        <v>0.93</v>
      </c>
      <c r="AD301">
        <v>0.93</v>
      </c>
      <c r="AE301">
        <v>1.1000000000000001</v>
      </c>
      <c r="AF301">
        <v>0.5</v>
      </c>
      <c r="AG301" t="str">
        <f t="shared" si="289"/>
        <v>205</v>
      </c>
      <c r="AH301" t="str">
        <f t="shared" si="290"/>
        <v>（株）ムロコーポレーション</v>
      </c>
      <c r="AI301" t="str">
        <f>"148"</f>
        <v>148</v>
      </c>
      <c r="AJ301" t="str">
        <f>"S-SM-4-6"</f>
        <v>S-SM-4-6</v>
      </c>
      <c r="AK301" t="str">
        <f>"10193"</f>
        <v>10193</v>
      </c>
      <c r="AL301" t="str">
        <f t="shared" si="313"/>
        <v>0370</v>
      </c>
      <c r="AM301" t="str">
        <f t="shared" si="314"/>
        <v>ｼﾑ</v>
      </c>
      <c r="AN301" t="str">
        <f t="shared" si="291"/>
        <v>012</v>
      </c>
      <c r="AO301" t="str">
        <f t="shared" si="292"/>
        <v>TP-131 ﾊﾝﾖｳ</v>
      </c>
      <c r="AP301">
        <v>100</v>
      </c>
      <c r="AQ301" t="str">
        <f>""</f>
        <v/>
      </c>
      <c r="AR301" t="str">
        <f>""</f>
        <v/>
      </c>
      <c r="AS301" t="str">
        <f>""</f>
        <v/>
      </c>
      <c r="AT301" t="str">
        <f t="shared" si="293"/>
        <v>00</v>
      </c>
      <c r="AU301">
        <v>0.5</v>
      </c>
      <c r="AV301" t="str">
        <f>""</f>
        <v/>
      </c>
      <c r="AW301" t="str">
        <f t="shared" si="315"/>
        <v>06</v>
      </c>
      <c r="AX301" t="str">
        <f t="shared" si="316"/>
        <v>計画</v>
      </c>
      <c r="AY301" t="str">
        <f t="shared" si="317"/>
        <v>02</v>
      </c>
      <c r="AZ301" t="str">
        <f t="shared" si="318"/>
        <v>計画・２社</v>
      </c>
      <c r="BA301" t="str">
        <f>""</f>
        <v/>
      </c>
      <c r="BB301" t="str">
        <f t="shared" si="294"/>
        <v>ＴＰ１３１フタナシ</v>
      </c>
      <c r="BC301" t="str">
        <f t="shared" si="295"/>
        <v xml:space="preserve"> 335.000</v>
      </c>
      <c r="BD301" t="str">
        <f t="shared" si="296"/>
        <v xml:space="preserve"> 168.000</v>
      </c>
      <c r="BE301" t="str">
        <f t="shared" si="297"/>
        <v xml:space="preserve"> 103.000</v>
      </c>
      <c r="BF301" t="str">
        <f t="shared" si="298"/>
        <v xml:space="preserve">   0.006</v>
      </c>
      <c r="BG301" t="str">
        <f t="shared" si="323"/>
        <v xml:space="preserve">   6.500</v>
      </c>
      <c r="BH301" t="str">
        <f t="shared" si="324"/>
        <v>しない</v>
      </c>
      <c r="BI301" t="str">
        <f>""</f>
        <v/>
      </c>
      <c r="BJ301" t="str">
        <f t="shared" si="321"/>
        <v>MASTER01</v>
      </c>
      <c r="BK301" t="str">
        <f t="shared" si="286"/>
        <v>2022/04/19</v>
      </c>
      <c r="BL301" t="str">
        <f t="shared" si="309"/>
        <v>NE00</v>
      </c>
      <c r="BM301" t="str">
        <f t="shared" si="310"/>
        <v>１工工務Ｇ</v>
      </c>
      <c r="BN301" t="str">
        <f t="shared" si="319"/>
        <v>46548</v>
      </c>
      <c r="BO301" t="str">
        <f t="shared" si="320"/>
        <v>長畑　玲奈</v>
      </c>
    </row>
    <row r="302" spans="1:67">
      <c r="A302" t="s">
        <v>384</v>
      </c>
      <c r="B302" t="str">
        <f>""</f>
        <v/>
      </c>
      <c r="C302" t="str">
        <f>""</f>
        <v/>
      </c>
      <c r="D302" t="str">
        <f t="shared" si="312"/>
        <v>SHIM</v>
      </c>
      <c r="E302" t="str">
        <f t="shared" si="299"/>
        <v>1Y</v>
      </c>
      <c r="F302" t="str">
        <f t="shared" si="300"/>
        <v>第１工場</v>
      </c>
      <c r="G302" t="str">
        <f t="shared" si="301"/>
        <v>手配</v>
      </c>
      <c r="H302" t="str">
        <f t="shared" si="302"/>
        <v>Ｐ</v>
      </c>
      <c r="I302" t="str">
        <f t="shared" si="287"/>
        <v>6454</v>
      </c>
      <c r="J302" t="str">
        <f t="shared" si="288"/>
        <v>（株）ムロコーポレーション</v>
      </c>
      <c r="K302" t="str">
        <f t="shared" si="285"/>
        <v>01</v>
      </c>
      <c r="L302" t="str">
        <f>""</f>
        <v/>
      </c>
      <c r="M302" t="str">
        <f t="shared" si="325"/>
        <v>――</v>
      </c>
      <c r="N302" t="str">
        <f t="shared" si="325"/>
        <v>――</v>
      </c>
      <c r="O302" t="str">
        <f t="shared" si="303"/>
        <v>Ｍ</v>
      </c>
      <c r="P302" t="str">
        <f t="shared" si="304"/>
        <v>01</v>
      </c>
      <c r="Q302" t="str">
        <f t="shared" si="305"/>
        <v>第１</v>
      </c>
      <c r="R302" t="str">
        <f t="shared" si="306"/>
        <v>1Y</v>
      </c>
      <c r="S302" t="str">
        <f t="shared" si="307"/>
        <v>安城第１工場</v>
      </c>
      <c r="T302" t="str">
        <f t="shared" si="308"/>
        <v>直接</v>
      </c>
      <c r="U302" t="str">
        <f>""</f>
        <v/>
      </c>
      <c r="V302" t="str">
        <f>""</f>
        <v/>
      </c>
      <c r="W302" t="str">
        <f>""</f>
        <v/>
      </c>
      <c r="X302">
        <v>1</v>
      </c>
      <c r="Y302">
        <v>1</v>
      </c>
      <c r="Z302">
        <v>0.73</v>
      </c>
      <c r="AA302">
        <v>0.93</v>
      </c>
      <c r="AB302">
        <v>3</v>
      </c>
      <c r="AC302">
        <v>0.93</v>
      </c>
      <c r="AD302">
        <v>0.93</v>
      </c>
      <c r="AE302">
        <v>1.1000000000000001</v>
      </c>
      <c r="AF302">
        <v>0.5</v>
      </c>
      <c r="AG302" t="str">
        <f t="shared" si="289"/>
        <v>205</v>
      </c>
      <c r="AH302" t="str">
        <f t="shared" si="290"/>
        <v>（株）ムロコーポレーション</v>
      </c>
      <c r="AI302" t="str">
        <f>"149"</f>
        <v>149</v>
      </c>
      <c r="AJ302" t="str">
        <f>"S-SM-4-7"</f>
        <v>S-SM-4-7</v>
      </c>
      <c r="AK302" t="str">
        <f>"10194"</f>
        <v>10194</v>
      </c>
      <c r="AL302" t="str">
        <f t="shared" si="313"/>
        <v>0370</v>
      </c>
      <c r="AM302" t="str">
        <f t="shared" si="314"/>
        <v>ｼﾑ</v>
      </c>
      <c r="AN302" t="str">
        <f t="shared" si="291"/>
        <v>012</v>
      </c>
      <c r="AO302" t="str">
        <f t="shared" si="292"/>
        <v>TP-131 ﾊﾝﾖｳ</v>
      </c>
      <c r="AP302">
        <v>100</v>
      </c>
      <c r="AQ302" t="str">
        <f>""</f>
        <v/>
      </c>
      <c r="AR302" t="str">
        <f>""</f>
        <v/>
      </c>
      <c r="AS302" t="str">
        <f>""</f>
        <v/>
      </c>
      <c r="AT302" t="str">
        <f t="shared" si="293"/>
        <v>00</v>
      </c>
      <c r="AU302">
        <v>0.5</v>
      </c>
      <c r="AV302" t="str">
        <f>""</f>
        <v/>
      </c>
      <c r="AW302" t="str">
        <f t="shared" si="315"/>
        <v>06</v>
      </c>
      <c r="AX302" t="str">
        <f t="shared" si="316"/>
        <v>計画</v>
      </c>
      <c r="AY302" t="str">
        <f t="shared" si="317"/>
        <v>02</v>
      </c>
      <c r="AZ302" t="str">
        <f t="shared" si="318"/>
        <v>計画・２社</v>
      </c>
      <c r="BA302" t="str">
        <f>""</f>
        <v/>
      </c>
      <c r="BB302" t="str">
        <f t="shared" si="294"/>
        <v>ＴＰ１３１フタナシ</v>
      </c>
      <c r="BC302" t="str">
        <f t="shared" si="295"/>
        <v xml:space="preserve"> 335.000</v>
      </c>
      <c r="BD302" t="str">
        <f t="shared" si="296"/>
        <v xml:space="preserve"> 168.000</v>
      </c>
      <c r="BE302" t="str">
        <f t="shared" si="297"/>
        <v xml:space="preserve"> 103.000</v>
      </c>
      <c r="BF302" t="str">
        <f t="shared" si="298"/>
        <v xml:space="preserve">   0.006</v>
      </c>
      <c r="BG302" t="str">
        <f t="shared" si="323"/>
        <v xml:space="preserve">   6.500</v>
      </c>
      <c r="BH302" t="str">
        <f t="shared" si="324"/>
        <v>しない</v>
      </c>
      <c r="BI302" t="str">
        <f>""</f>
        <v/>
      </c>
      <c r="BJ302" t="str">
        <f t="shared" si="321"/>
        <v>MASTER01</v>
      </c>
      <c r="BK302" t="str">
        <f t="shared" si="286"/>
        <v>2022/04/19</v>
      </c>
      <c r="BL302" t="str">
        <f t="shared" si="309"/>
        <v>NE00</v>
      </c>
      <c r="BM302" t="str">
        <f t="shared" si="310"/>
        <v>１工工務Ｇ</v>
      </c>
      <c r="BN302" t="str">
        <f t="shared" si="319"/>
        <v>46548</v>
      </c>
      <c r="BO302" t="str">
        <f t="shared" si="320"/>
        <v>長畑　玲奈</v>
      </c>
    </row>
    <row r="303" spans="1:67">
      <c r="A303" t="s">
        <v>385</v>
      </c>
      <c r="B303" t="str">
        <f>""</f>
        <v/>
      </c>
      <c r="C303" t="str">
        <f>""</f>
        <v/>
      </c>
      <c r="D303" t="str">
        <f t="shared" si="312"/>
        <v>SHIM</v>
      </c>
      <c r="E303" t="str">
        <f t="shared" si="299"/>
        <v>1Y</v>
      </c>
      <c r="F303" t="str">
        <f t="shared" si="300"/>
        <v>第１工場</v>
      </c>
      <c r="G303" t="str">
        <f t="shared" si="301"/>
        <v>手配</v>
      </c>
      <c r="H303" t="str">
        <f t="shared" si="302"/>
        <v>Ｐ</v>
      </c>
      <c r="I303" t="str">
        <f t="shared" si="287"/>
        <v>6454</v>
      </c>
      <c r="J303" t="str">
        <f t="shared" si="288"/>
        <v>（株）ムロコーポレーション</v>
      </c>
      <c r="K303" t="str">
        <f t="shared" si="285"/>
        <v>01</v>
      </c>
      <c r="L303" t="str">
        <f>""</f>
        <v/>
      </c>
      <c r="M303" t="str">
        <f t="shared" si="325"/>
        <v>――</v>
      </c>
      <c r="N303" t="str">
        <f t="shared" si="325"/>
        <v>――</v>
      </c>
      <c r="O303" t="str">
        <f t="shared" si="303"/>
        <v>Ｍ</v>
      </c>
      <c r="P303" t="str">
        <f t="shared" si="304"/>
        <v>01</v>
      </c>
      <c r="Q303" t="str">
        <f t="shared" si="305"/>
        <v>第１</v>
      </c>
      <c r="R303" t="str">
        <f t="shared" si="306"/>
        <v>1Y</v>
      </c>
      <c r="S303" t="str">
        <f t="shared" si="307"/>
        <v>安城第１工場</v>
      </c>
      <c r="T303" t="str">
        <f t="shared" si="308"/>
        <v>直接</v>
      </c>
      <c r="U303" t="str">
        <f>""</f>
        <v/>
      </c>
      <c r="V303" t="str">
        <f>""</f>
        <v/>
      </c>
      <c r="W303" t="str">
        <f>""</f>
        <v/>
      </c>
      <c r="X303">
        <v>1</v>
      </c>
      <c r="Y303">
        <v>1</v>
      </c>
      <c r="Z303">
        <v>0.73</v>
      </c>
      <c r="AA303">
        <v>0.93</v>
      </c>
      <c r="AB303">
        <v>3</v>
      </c>
      <c r="AC303">
        <v>0.93</v>
      </c>
      <c r="AD303">
        <v>0.93</v>
      </c>
      <c r="AE303">
        <v>1.1000000000000001</v>
      </c>
      <c r="AF303">
        <v>0.5</v>
      </c>
      <c r="AG303" t="str">
        <f t="shared" si="289"/>
        <v>205</v>
      </c>
      <c r="AH303" t="str">
        <f t="shared" si="290"/>
        <v>（株）ムロコーポレーション</v>
      </c>
      <c r="AI303" t="str">
        <f>"150"</f>
        <v>150</v>
      </c>
      <c r="AJ303" t="str">
        <f>"S-SM-4-8"</f>
        <v>S-SM-4-8</v>
      </c>
      <c r="AK303" t="str">
        <f>"10195"</f>
        <v>10195</v>
      </c>
      <c r="AL303" t="str">
        <f t="shared" si="313"/>
        <v>0370</v>
      </c>
      <c r="AM303" t="str">
        <f t="shared" si="314"/>
        <v>ｼﾑ</v>
      </c>
      <c r="AN303" t="str">
        <f t="shared" si="291"/>
        <v>012</v>
      </c>
      <c r="AO303" t="str">
        <f t="shared" si="292"/>
        <v>TP-131 ﾊﾝﾖｳ</v>
      </c>
      <c r="AP303">
        <v>100</v>
      </c>
      <c r="AQ303" t="str">
        <f>""</f>
        <v/>
      </c>
      <c r="AR303" t="str">
        <f>""</f>
        <v/>
      </c>
      <c r="AS303" t="str">
        <f>""</f>
        <v/>
      </c>
      <c r="AT303" t="str">
        <f t="shared" si="293"/>
        <v>00</v>
      </c>
      <c r="AU303">
        <v>0.5</v>
      </c>
      <c r="AV303" t="str">
        <f>""</f>
        <v/>
      </c>
      <c r="AW303" t="str">
        <f t="shared" si="315"/>
        <v>06</v>
      </c>
      <c r="AX303" t="str">
        <f t="shared" si="316"/>
        <v>計画</v>
      </c>
      <c r="AY303" t="str">
        <f t="shared" si="317"/>
        <v>02</v>
      </c>
      <c r="AZ303" t="str">
        <f t="shared" si="318"/>
        <v>計画・２社</v>
      </c>
      <c r="BA303" t="str">
        <f>""</f>
        <v/>
      </c>
      <c r="BB303" t="str">
        <f t="shared" si="294"/>
        <v>ＴＰ１３１フタナシ</v>
      </c>
      <c r="BC303" t="str">
        <f t="shared" si="295"/>
        <v xml:space="preserve"> 335.000</v>
      </c>
      <c r="BD303" t="str">
        <f t="shared" si="296"/>
        <v xml:space="preserve"> 168.000</v>
      </c>
      <c r="BE303" t="str">
        <f t="shared" si="297"/>
        <v xml:space="preserve"> 103.000</v>
      </c>
      <c r="BF303" t="str">
        <f t="shared" si="298"/>
        <v xml:space="preserve">   0.006</v>
      </c>
      <c r="BG303" t="str">
        <f t="shared" si="323"/>
        <v xml:space="preserve">   6.500</v>
      </c>
      <c r="BH303" t="str">
        <f t="shared" si="324"/>
        <v>しない</v>
      </c>
      <c r="BI303" t="str">
        <f>""</f>
        <v/>
      </c>
      <c r="BJ303" t="str">
        <f t="shared" si="321"/>
        <v>MASTER01</v>
      </c>
      <c r="BK303" t="str">
        <f t="shared" si="286"/>
        <v>2022/04/19</v>
      </c>
      <c r="BL303" t="str">
        <f t="shared" si="309"/>
        <v>NE00</v>
      </c>
      <c r="BM303" t="str">
        <f t="shared" si="310"/>
        <v>１工工務Ｇ</v>
      </c>
      <c r="BN303" t="str">
        <f t="shared" si="319"/>
        <v>46548</v>
      </c>
      <c r="BO303" t="str">
        <f t="shared" si="320"/>
        <v>長畑　玲奈</v>
      </c>
    </row>
    <row r="304" spans="1:67">
      <c r="A304" t="s">
        <v>386</v>
      </c>
      <c r="B304" t="str">
        <f>""</f>
        <v/>
      </c>
      <c r="C304" t="str">
        <f>""</f>
        <v/>
      </c>
      <c r="D304" t="str">
        <f t="shared" si="312"/>
        <v>SHIM</v>
      </c>
      <c r="E304" t="str">
        <f t="shared" si="299"/>
        <v>1Y</v>
      </c>
      <c r="F304" t="str">
        <f t="shared" si="300"/>
        <v>第１工場</v>
      </c>
      <c r="G304" t="str">
        <f t="shared" si="301"/>
        <v>手配</v>
      </c>
      <c r="H304" t="str">
        <f t="shared" si="302"/>
        <v>Ｐ</v>
      </c>
      <c r="I304" t="str">
        <f t="shared" si="287"/>
        <v>6454</v>
      </c>
      <c r="J304" t="str">
        <f t="shared" si="288"/>
        <v>（株）ムロコーポレーション</v>
      </c>
      <c r="K304" t="str">
        <f t="shared" si="285"/>
        <v>01</v>
      </c>
      <c r="L304" t="str">
        <f>""</f>
        <v/>
      </c>
      <c r="M304" t="str">
        <f t="shared" si="325"/>
        <v>――</v>
      </c>
      <c r="N304" t="str">
        <f t="shared" si="325"/>
        <v>――</v>
      </c>
      <c r="O304" t="str">
        <f t="shared" si="303"/>
        <v>Ｍ</v>
      </c>
      <c r="P304" t="str">
        <f t="shared" si="304"/>
        <v>01</v>
      </c>
      <c r="Q304" t="str">
        <f t="shared" si="305"/>
        <v>第１</v>
      </c>
      <c r="R304" t="str">
        <f t="shared" si="306"/>
        <v>1Y</v>
      </c>
      <c r="S304" t="str">
        <f t="shared" si="307"/>
        <v>安城第１工場</v>
      </c>
      <c r="T304" t="str">
        <f t="shared" si="308"/>
        <v>直接</v>
      </c>
      <c r="U304" t="str">
        <f>""</f>
        <v/>
      </c>
      <c r="V304" t="str">
        <f>""</f>
        <v/>
      </c>
      <c r="W304" t="str">
        <f>""</f>
        <v/>
      </c>
      <c r="X304">
        <v>1</v>
      </c>
      <c r="Y304">
        <v>1</v>
      </c>
      <c r="Z304">
        <v>0.73</v>
      </c>
      <c r="AA304">
        <v>0.93</v>
      </c>
      <c r="AB304">
        <v>3</v>
      </c>
      <c r="AC304">
        <v>0.93</v>
      </c>
      <c r="AD304">
        <v>0.93</v>
      </c>
      <c r="AE304">
        <v>1.1000000000000001</v>
      </c>
      <c r="AF304">
        <v>0.5</v>
      </c>
      <c r="AG304" t="str">
        <f t="shared" si="289"/>
        <v>205</v>
      </c>
      <c r="AH304" t="str">
        <f t="shared" si="290"/>
        <v>（株）ムロコーポレーション</v>
      </c>
      <c r="AI304" t="str">
        <f>"151"</f>
        <v>151</v>
      </c>
      <c r="AJ304" t="str">
        <f>"S-SM-4-9"</f>
        <v>S-SM-4-9</v>
      </c>
      <c r="AK304" t="str">
        <f>"10196"</f>
        <v>10196</v>
      </c>
      <c r="AL304" t="str">
        <f t="shared" si="313"/>
        <v>0370</v>
      </c>
      <c r="AM304" t="str">
        <f t="shared" si="314"/>
        <v>ｼﾑ</v>
      </c>
      <c r="AN304" t="str">
        <f t="shared" si="291"/>
        <v>012</v>
      </c>
      <c r="AO304" t="str">
        <f t="shared" si="292"/>
        <v>TP-131 ﾊﾝﾖｳ</v>
      </c>
      <c r="AP304">
        <v>100</v>
      </c>
      <c r="AQ304" t="str">
        <f>""</f>
        <v/>
      </c>
      <c r="AR304" t="str">
        <f>""</f>
        <v/>
      </c>
      <c r="AS304" t="str">
        <f>""</f>
        <v/>
      </c>
      <c r="AT304" t="str">
        <f t="shared" si="293"/>
        <v>00</v>
      </c>
      <c r="AU304">
        <v>0.5</v>
      </c>
      <c r="AV304" t="str">
        <f>""</f>
        <v/>
      </c>
      <c r="AW304" t="str">
        <f t="shared" si="315"/>
        <v>06</v>
      </c>
      <c r="AX304" t="str">
        <f t="shared" si="316"/>
        <v>計画</v>
      </c>
      <c r="AY304" t="str">
        <f t="shared" si="317"/>
        <v>02</v>
      </c>
      <c r="AZ304" t="str">
        <f t="shared" si="318"/>
        <v>計画・２社</v>
      </c>
      <c r="BA304" t="str">
        <f>""</f>
        <v/>
      </c>
      <c r="BB304" t="str">
        <f t="shared" si="294"/>
        <v>ＴＰ１３１フタナシ</v>
      </c>
      <c r="BC304" t="str">
        <f t="shared" si="295"/>
        <v xml:space="preserve"> 335.000</v>
      </c>
      <c r="BD304" t="str">
        <f t="shared" si="296"/>
        <v xml:space="preserve"> 168.000</v>
      </c>
      <c r="BE304" t="str">
        <f t="shared" si="297"/>
        <v xml:space="preserve"> 103.000</v>
      </c>
      <c r="BF304" t="str">
        <f t="shared" si="298"/>
        <v xml:space="preserve">   0.006</v>
      </c>
      <c r="BG304" t="str">
        <f t="shared" si="323"/>
        <v xml:space="preserve">   6.500</v>
      </c>
      <c r="BH304" t="str">
        <f t="shared" si="324"/>
        <v>しない</v>
      </c>
      <c r="BI304" t="str">
        <f>""</f>
        <v/>
      </c>
      <c r="BJ304" t="str">
        <f t="shared" si="321"/>
        <v>MASTER01</v>
      </c>
      <c r="BK304" t="str">
        <f t="shared" si="286"/>
        <v>2022/04/19</v>
      </c>
      <c r="BL304" t="str">
        <f t="shared" si="309"/>
        <v>NE00</v>
      </c>
      <c r="BM304" t="str">
        <f t="shared" si="310"/>
        <v>１工工務Ｇ</v>
      </c>
      <c r="BN304" t="str">
        <f t="shared" si="319"/>
        <v>46548</v>
      </c>
      <c r="BO304" t="str">
        <f t="shared" si="320"/>
        <v>長畑　玲奈</v>
      </c>
    </row>
    <row r="305" spans="1:67">
      <c r="A305" t="s">
        <v>387</v>
      </c>
      <c r="B305" t="str">
        <f>""</f>
        <v/>
      </c>
      <c r="C305" t="str">
        <f>""</f>
        <v/>
      </c>
      <c r="D305" t="str">
        <f t="shared" si="312"/>
        <v>SHIM</v>
      </c>
      <c r="E305" t="str">
        <f t="shared" si="299"/>
        <v>1Y</v>
      </c>
      <c r="F305" t="str">
        <f t="shared" si="300"/>
        <v>第１工場</v>
      </c>
      <c r="G305" t="str">
        <f t="shared" si="301"/>
        <v>手配</v>
      </c>
      <c r="H305" t="str">
        <f t="shared" si="302"/>
        <v>Ｐ</v>
      </c>
      <c r="I305" t="str">
        <f t="shared" si="287"/>
        <v>6454</v>
      </c>
      <c r="J305" t="str">
        <f t="shared" si="288"/>
        <v>（株）ムロコーポレーション</v>
      </c>
      <c r="K305" t="str">
        <f t="shared" si="285"/>
        <v>01</v>
      </c>
      <c r="L305" t="str">
        <f>""</f>
        <v/>
      </c>
      <c r="M305" t="str">
        <f t="shared" si="325"/>
        <v>――</v>
      </c>
      <c r="N305" t="str">
        <f t="shared" si="325"/>
        <v>――</v>
      </c>
      <c r="O305" t="str">
        <f t="shared" si="303"/>
        <v>Ｍ</v>
      </c>
      <c r="P305" t="str">
        <f t="shared" si="304"/>
        <v>01</v>
      </c>
      <c r="Q305" t="str">
        <f t="shared" si="305"/>
        <v>第１</v>
      </c>
      <c r="R305" t="str">
        <f t="shared" si="306"/>
        <v>1Y</v>
      </c>
      <c r="S305" t="str">
        <f t="shared" si="307"/>
        <v>安城第１工場</v>
      </c>
      <c r="T305" t="str">
        <f t="shared" si="308"/>
        <v>直接</v>
      </c>
      <c r="U305" t="str">
        <f>""</f>
        <v/>
      </c>
      <c r="V305" t="str">
        <f>""</f>
        <v/>
      </c>
      <c r="W305" t="str">
        <f>""</f>
        <v/>
      </c>
      <c r="X305">
        <v>1</v>
      </c>
      <c r="Y305">
        <v>1</v>
      </c>
      <c r="Z305">
        <v>0.73</v>
      </c>
      <c r="AA305">
        <v>0.93</v>
      </c>
      <c r="AB305">
        <v>3</v>
      </c>
      <c r="AC305">
        <v>0.93</v>
      </c>
      <c r="AD305">
        <v>0.93</v>
      </c>
      <c r="AE305">
        <v>1.1000000000000001</v>
      </c>
      <c r="AF305">
        <v>0.5</v>
      </c>
      <c r="AG305" t="str">
        <f t="shared" si="289"/>
        <v>205</v>
      </c>
      <c r="AH305" t="str">
        <f t="shared" si="290"/>
        <v>（株）ムロコーポレーション</v>
      </c>
      <c r="AI305" t="str">
        <f>"152"</f>
        <v>152</v>
      </c>
      <c r="AJ305" t="str">
        <f>"S-SM-4-10"</f>
        <v>S-SM-4-10</v>
      </c>
      <c r="AK305" t="str">
        <f>"10197"</f>
        <v>10197</v>
      </c>
      <c r="AL305" t="str">
        <f t="shared" si="313"/>
        <v>0370</v>
      </c>
      <c r="AM305" t="str">
        <f t="shared" si="314"/>
        <v>ｼﾑ</v>
      </c>
      <c r="AN305" t="str">
        <f t="shared" si="291"/>
        <v>012</v>
      </c>
      <c r="AO305" t="str">
        <f t="shared" si="292"/>
        <v>TP-131 ﾊﾝﾖｳ</v>
      </c>
      <c r="AP305">
        <v>100</v>
      </c>
      <c r="AQ305" t="str">
        <f>""</f>
        <v/>
      </c>
      <c r="AR305" t="str">
        <f>""</f>
        <v/>
      </c>
      <c r="AS305" t="str">
        <f>""</f>
        <v/>
      </c>
      <c r="AT305" t="str">
        <f t="shared" si="293"/>
        <v>00</v>
      </c>
      <c r="AU305">
        <v>0.5</v>
      </c>
      <c r="AV305" t="str">
        <f>""</f>
        <v/>
      </c>
      <c r="AW305" t="str">
        <f t="shared" si="315"/>
        <v>06</v>
      </c>
      <c r="AX305" t="str">
        <f t="shared" si="316"/>
        <v>計画</v>
      </c>
      <c r="AY305" t="str">
        <f t="shared" si="317"/>
        <v>02</v>
      </c>
      <c r="AZ305" t="str">
        <f t="shared" si="318"/>
        <v>計画・２社</v>
      </c>
      <c r="BA305" t="str">
        <f>""</f>
        <v/>
      </c>
      <c r="BB305" t="str">
        <f t="shared" si="294"/>
        <v>ＴＰ１３１フタナシ</v>
      </c>
      <c r="BC305" t="str">
        <f t="shared" si="295"/>
        <v xml:space="preserve"> 335.000</v>
      </c>
      <c r="BD305" t="str">
        <f t="shared" si="296"/>
        <v xml:space="preserve"> 168.000</v>
      </c>
      <c r="BE305" t="str">
        <f t="shared" si="297"/>
        <v xml:space="preserve"> 103.000</v>
      </c>
      <c r="BF305" t="str">
        <f t="shared" si="298"/>
        <v xml:space="preserve">   0.006</v>
      </c>
      <c r="BG305" t="str">
        <f t="shared" si="323"/>
        <v xml:space="preserve">   6.500</v>
      </c>
      <c r="BH305" t="str">
        <f t="shared" si="324"/>
        <v>しない</v>
      </c>
      <c r="BI305" t="str">
        <f>""</f>
        <v/>
      </c>
      <c r="BJ305" t="str">
        <f t="shared" si="321"/>
        <v>MASTER01</v>
      </c>
      <c r="BK305" t="str">
        <f t="shared" si="286"/>
        <v>2022/04/19</v>
      </c>
      <c r="BL305" t="str">
        <f t="shared" si="309"/>
        <v>NE00</v>
      </c>
      <c r="BM305" t="str">
        <f t="shared" si="310"/>
        <v>１工工務Ｇ</v>
      </c>
      <c r="BN305" t="str">
        <f t="shared" si="319"/>
        <v>46548</v>
      </c>
      <c r="BO305" t="str">
        <f t="shared" si="320"/>
        <v>長畑　玲奈</v>
      </c>
    </row>
    <row r="306" spans="1:67">
      <c r="A306" t="s">
        <v>388</v>
      </c>
      <c r="B306" t="str">
        <f>""</f>
        <v/>
      </c>
      <c r="C306" t="str">
        <f>""</f>
        <v/>
      </c>
      <c r="D306" t="str">
        <f t="shared" si="312"/>
        <v>SHIM</v>
      </c>
      <c r="E306" t="str">
        <f t="shared" si="299"/>
        <v>1Y</v>
      </c>
      <c r="F306" t="str">
        <f t="shared" si="300"/>
        <v>第１工場</v>
      </c>
      <c r="G306" t="str">
        <f t="shared" si="301"/>
        <v>手配</v>
      </c>
      <c r="H306" t="str">
        <f t="shared" si="302"/>
        <v>Ｐ</v>
      </c>
      <c r="I306" t="str">
        <f t="shared" si="287"/>
        <v>6454</v>
      </c>
      <c r="J306" t="str">
        <f t="shared" si="288"/>
        <v>（株）ムロコーポレーション</v>
      </c>
      <c r="K306" t="str">
        <f t="shared" si="285"/>
        <v>01</v>
      </c>
      <c r="L306" t="str">
        <f>""</f>
        <v/>
      </c>
      <c r="M306" t="str">
        <f t="shared" si="325"/>
        <v>――</v>
      </c>
      <c r="N306" t="str">
        <f t="shared" si="325"/>
        <v>――</v>
      </c>
      <c r="O306" t="str">
        <f t="shared" si="303"/>
        <v>Ｍ</v>
      </c>
      <c r="P306" t="str">
        <f t="shared" si="304"/>
        <v>01</v>
      </c>
      <c r="Q306" t="str">
        <f t="shared" si="305"/>
        <v>第１</v>
      </c>
      <c r="R306" t="str">
        <f t="shared" si="306"/>
        <v>1Y</v>
      </c>
      <c r="S306" t="str">
        <f t="shared" si="307"/>
        <v>安城第１工場</v>
      </c>
      <c r="T306" t="str">
        <f t="shared" si="308"/>
        <v>直接</v>
      </c>
      <c r="U306" t="str">
        <f>""</f>
        <v/>
      </c>
      <c r="V306" t="str">
        <f>""</f>
        <v/>
      </c>
      <c r="W306" t="str">
        <f>""</f>
        <v/>
      </c>
      <c r="X306">
        <v>1</v>
      </c>
      <c r="Y306">
        <v>1</v>
      </c>
      <c r="Z306">
        <v>0.73</v>
      </c>
      <c r="AA306">
        <v>0.93</v>
      </c>
      <c r="AB306">
        <v>3</v>
      </c>
      <c r="AC306">
        <v>0.93</v>
      </c>
      <c r="AD306">
        <v>0.93</v>
      </c>
      <c r="AE306">
        <v>1.1000000000000001</v>
      </c>
      <c r="AF306">
        <v>0.5</v>
      </c>
      <c r="AG306" t="str">
        <f t="shared" si="289"/>
        <v>205</v>
      </c>
      <c r="AH306" t="str">
        <f t="shared" si="290"/>
        <v>（株）ムロコーポレーション</v>
      </c>
      <c r="AI306" t="str">
        <f>"153"</f>
        <v>153</v>
      </c>
      <c r="AJ306" t="str">
        <f>"S-SM-4-11"</f>
        <v>S-SM-4-11</v>
      </c>
      <c r="AK306" t="str">
        <f>"10198"</f>
        <v>10198</v>
      </c>
      <c r="AL306" t="str">
        <f t="shared" si="313"/>
        <v>0370</v>
      </c>
      <c r="AM306" t="str">
        <f t="shared" si="314"/>
        <v>ｼﾑ</v>
      </c>
      <c r="AN306" t="str">
        <f t="shared" si="291"/>
        <v>012</v>
      </c>
      <c r="AO306" t="str">
        <f t="shared" si="292"/>
        <v>TP-131 ﾊﾝﾖｳ</v>
      </c>
      <c r="AP306">
        <v>100</v>
      </c>
      <c r="AQ306" t="str">
        <f>""</f>
        <v/>
      </c>
      <c r="AR306" t="str">
        <f>""</f>
        <v/>
      </c>
      <c r="AS306" t="str">
        <f>""</f>
        <v/>
      </c>
      <c r="AT306" t="str">
        <f t="shared" si="293"/>
        <v>00</v>
      </c>
      <c r="AU306">
        <v>0.5</v>
      </c>
      <c r="AV306" t="str">
        <f>""</f>
        <v/>
      </c>
      <c r="AW306" t="str">
        <f t="shared" si="315"/>
        <v>06</v>
      </c>
      <c r="AX306" t="str">
        <f t="shared" si="316"/>
        <v>計画</v>
      </c>
      <c r="AY306" t="str">
        <f t="shared" si="317"/>
        <v>02</v>
      </c>
      <c r="AZ306" t="str">
        <f t="shared" si="318"/>
        <v>計画・２社</v>
      </c>
      <c r="BA306" t="str">
        <f>""</f>
        <v/>
      </c>
      <c r="BB306" t="str">
        <f t="shared" si="294"/>
        <v>ＴＰ１３１フタナシ</v>
      </c>
      <c r="BC306" t="str">
        <f t="shared" si="295"/>
        <v xml:space="preserve"> 335.000</v>
      </c>
      <c r="BD306" t="str">
        <f t="shared" si="296"/>
        <v xml:space="preserve"> 168.000</v>
      </c>
      <c r="BE306" t="str">
        <f t="shared" si="297"/>
        <v xml:space="preserve"> 103.000</v>
      </c>
      <c r="BF306" t="str">
        <f t="shared" si="298"/>
        <v xml:space="preserve">   0.006</v>
      </c>
      <c r="BG306" t="str">
        <f t="shared" si="323"/>
        <v xml:space="preserve">   6.500</v>
      </c>
      <c r="BH306" t="str">
        <f t="shared" si="324"/>
        <v>しない</v>
      </c>
      <c r="BI306" t="str">
        <f>""</f>
        <v/>
      </c>
      <c r="BJ306" t="str">
        <f t="shared" si="321"/>
        <v>MASTER01</v>
      </c>
      <c r="BK306" t="str">
        <f t="shared" si="286"/>
        <v>2022/04/19</v>
      </c>
      <c r="BL306" t="str">
        <f t="shared" si="309"/>
        <v>NE00</v>
      </c>
      <c r="BM306" t="str">
        <f t="shared" si="310"/>
        <v>１工工務Ｇ</v>
      </c>
      <c r="BN306" t="str">
        <f t="shared" si="319"/>
        <v>46548</v>
      </c>
      <c r="BO306" t="str">
        <f t="shared" si="320"/>
        <v>長畑　玲奈</v>
      </c>
    </row>
    <row r="307" spans="1:67">
      <c r="A307" t="s">
        <v>389</v>
      </c>
      <c r="B307" t="str">
        <f>""</f>
        <v/>
      </c>
      <c r="C307" t="str">
        <f>""</f>
        <v/>
      </c>
      <c r="D307" t="str">
        <f t="shared" si="312"/>
        <v>SHIM</v>
      </c>
      <c r="E307" t="str">
        <f t="shared" si="299"/>
        <v>1Y</v>
      </c>
      <c r="F307" t="str">
        <f t="shared" si="300"/>
        <v>第１工場</v>
      </c>
      <c r="G307" t="str">
        <f t="shared" si="301"/>
        <v>手配</v>
      </c>
      <c r="H307" t="str">
        <f t="shared" si="302"/>
        <v>Ｐ</v>
      </c>
      <c r="I307" t="str">
        <f t="shared" si="287"/>
        <v>6454</v>
      </c>
      <c r="J307" t="str">
        <f t="shared" si="288"/>
        <v>（株）ムロコーポレーション</v>
      </c>
      <c r="K307" t="str">
        <f t="shared" si="285"/>
        <v>01</v>
      </c>
      <c r="L307" t="str">
        <f>""</f>
        <v/>
      </c>
      <c r="M307" t="str">
        <f t="shared" si="325"/>
        <v>――</v>
      </c>
      <c r="N307" t="str">
        <f t="shared" si="325"/>
        <v>――</v>
      </c>
      <c r="O307" t="str">
        <f t="shared" si="303"/>
        <v>Ｍ</v>
      </c>
      <c r="P307" t="str">
        <f t="shared" si="304"/>
        <v>01</v>
      </c>
      <c r="Q307" t="str">
        <f t="shared" si="305"/>
        <v>第１</v>
      </c>
      <c r="R307" t="str">
        <f t="shared" si="306"/>
        <v>1Y</v>
      </c>
      <c r="S307" t="str">
        <f t="shared" si="307"/>
        <v>安城第１工場</v>
      </c>
      <c r="T307" t="str">
        <f t="shared" si="308"/>
        <v>直接</v>
      </c>
      <c r="U307" t="str">
        <f>""</f>
        <v/>
      </c>
      <c r="V307" t="str">
        <f>""</f>
        <v/>
      </c>
      <c r="W307" t="str">
        <f>""</f>
        <v/>
      </c>
      <c r="X307">
        <v>1</v>
      </c>
      <c r="Y307">
        <v>1</v>
      </c>
      <c r="Z307">
        <v>0.73</v>
      </c>
      <c r="AA307">
        <v>0.93</v>
      </c>
      <c r="AB307">
        <v>3</v>
      </c>
      <c r="AC307">
        <v>0.93</v>
      </c>
      <c r="AD307">
        <v>0.93</v>
      </c>
      <c r="AE307">
        <v>1.1000000000000001</v>
      </c>
      <c r="AF307">
        <v>0.5</v>
      </c>
      <c r="AG307" t="str">
        <f t="shared" si="289"/>
        <v>205</v>
      </c>
      <c r="AH307" t="str">
        <f t="shared" si="290"/>
        <v>（株）ムロコーポレーション</v>
      </c>
      <c r="AI307" t="str">
        <f>"154"</f>
        <v>154</v>
      </c>
      <c r="AJ307" t="str">
        <f>"S-SM-4-12"</f>
        <v>S-SM-4-12</v>
      </c>
      <c r="AK307" t="str">
        <f>"10199"</f>
        <v>10199</v>
      </c>
      <c r="AL307" t="str">
        <f t="shared" si="313"/>
        <v>0370</v>
      </c>
      <c r="AM307" t="str">
        <f t="shared" si="314"/>
        <v>ｼﾑ</v>
      </c>
      <c r="AN307" t="str">
        <f t="shared" si="291"/>
        <v>012</v>
      </c>
      <c r="AO307" t="str">
        <f t="shared" si="292"/>
        <v>TP-131 ﾊﾝﾖｳ</v>
      </c>
      <c r="AP307">
        <v>100</v>
      </c>
      <c r="AQ307" t="str">
        <f>""</f>
        <v/>
      </c>
      <c r="AR307" t="str">
        <f>""</f>
        <v/>
      </c>
      <c r="AS307" t="str">
        <f>""</f>
        <v/>
      </c>
      <c r="AT307" t="str">
        <f t="shared" si="293"/>
        <v>00</v>
      </c>
      <c r="AU307">
        <v>0.5</v>
      </c>
      <c r="AV307" t="str">
        <f>""</f>
        <v/>
      </c>
      <c r="AW307" t="str">
        <f t="shared" si="315"/>
        <v>06</v>
      </c>
      <c r="AX307" t="str">
        <f t="shared" si="316"/>
        <v>計画</v>
      </c>
      <c r="AY307" t="str">
        <f t="shared" si="317"/>
        <v>02</v>
      </c>
      <c r="AZ307" t="str">
        <f t="shared" si="318"/>
        <v>計画・２社</v>
      </c>
      <c r="BA307" t="str">
        <f>""</f>
        <v/>
      </c>
      <c r="BB307" t="str">
        <f t="shared" si="294"/>
        <v>ＴＰ１３１フタナシ</v>
      </c>
      <c r="BC307" t="str">
        <f t="shared" si="295"/>
        <v xml:space="preserve"> 335.000</v>
      </c>
      <c r="BD307" t="str">
        <f t="shared" si="296"/>
        <v xml:space="preserve"> 168.000</v>
      </c>
      <c r="BE307" t="str">
        <f t="shared" si="297"/>
        <v xml:space="preserve"> 103.000</v>
      </c>
      <c r="BF307" t="str">
        <f t="shared" si="298"/>
        <v xml:space="preserve">   0.006</v>
      </c>
      <c r="BG307" t="str">
        <f t="shared" si="323"/>
        <v xml:space="preserve">   6.500</v>
      </c>
      <c r="BH307" t="str">
        <f t="shared" si="324"/>
        <v>しない</v>
      </c>
      <c r="BI307" t="str">
        <f>""</f>
        <v/>
      </c>
      <c r="BJ307" t="str">
        <f t="shared" si="321"/>
        <v>MASTER01</v>
      </c>
      <c r="BK307" t="str">
        <f t="shared" si="286"/>
        <v>2022/04/19</v>
      </c>
      <c r="BL307" t="str">
        <f t="shared" si="309"/>
        <v>NE00</v>
      </c>
      <c r="BM307" t="str">
        <f t="shared" si="310"/>
        <v>１工工務Ｇ</v>
      </c>
      <c r="BN307" t="str">
        <f t="shared" si="319"/>
        <v>46548</v>
      </c>
      <c r="BO307" t="str">
        <f t="shared" si="320"/>
        <v>長畑　玲奈</v>
      </c>
    </row>
    <row r="308" spans="1:67">
      <c r="A308" t="s">
        <v>390</v>
      </c>
      <c r="B308" t="str">
        <f>""</f>
        <v/>
      </c>
      <c r="C308" t="str">
        <f>""</f>
        <v/>
      </c>
      <c r="D308" t="str">
        <f t="shared" si="312"/>
        <v>SHIM</v>
      </c>
      <c r="E308" t="str">
        <f t="shared" si="299"/>
        <v>1Y</v>
      </c>
      <c r="F308" t="str">
        <f t="shared" si="300"/>
        <v>第１工場</v>
      </c>
      <c r="G308" t="str">
        <f t="shared" si="301"/>
        <v>手配</v>
      </c>
      <c r="H308" t="str">
        <f t="shared" si="302"/>
        <v>Ｐ</v>
      </c>
      <c r="I308" t="str">
        <f t="shared" si="287"/>
        <v>6454</v>
      </c>
      <c r="J308" t="str">
        <f t="shared" si="288"/>
        <v>（株）ムロコーポレーション</v>
      </c>
      <c r="K308" t="str">
        <f t="shared" si="285"/>
        <v>01</v>
      </c>
      <c r="L308" t="str">
        <f>""</f>
        <v/>
      </c>
      <c r="M308" t="str">
        <f t="shared" si="325"/>
        <v>――</v>
      </c>
      <c r="N308" t="str">
        <f t="shared" si="325"/>
        <v>――</v>
      </c>
      <c r="O308" t="str">
        <f t="shared" si="303"/>
        <v>Ｍ</v>
      </c>
      <c r="P308" t="str">
        <f t="shared" si="304"/>
        <v>01</v>
      </c>
      <c r="Q308" t="str">
        <f t="shared" si="305"/>
        <v>第１</v>
      </c>
      <c r="R308" t="str">
        <f t="shared" si="306"/>
        <v>1Y</v>
      </c>
      <c r="S308" t="str">
        <f t="shared" si="307"/>
        <v>安城第１工場</v>
      </c>
      <c r="T308" t="str">
        <f t="shared" si="308"/>
        <v>直接</v>
      </c>
      <c r="U308" t="str">
        <f>""</f>
        <v/>
      </c>
      <c r="V308" t="str">
        <f>""</f>
        <v/>
      </c>
      <c r="W308" t="str">
        <f>""</f>
        <v/>
      </c>
      <c r="X308">
        <v>1</v>
      </c>
      <c r="Y308">
        <v>1</v>
      </c>
      <c r="Z308">
        <v>0.73</v>
      </c>
      <c r="AA308">
        <v>0.93</v>
      </c>
      <c r="AB308">
        <v>3</v>
      </c>
      <c r="AC308">
        <v>0.93</v>
      </c>
      <c r="AD308">
        <v>0.93</v>
      </c>
      <c r="AE308">
        <v>1.1000000000000001</v>
      </c>
      <c r="AF308">
        <v>0.5</v>
      </c>
      <c r="AG308" t="str">
        <f t="shared" si="289"/>
        <v>205</v>
      </c>
      <c r="AH308" t="str">
        <f t="shared" si="290"/>
        <v>（株）ムロコーポレーション</v>
      </c>
      <c r="AI308" t="str">
        <f>"155"</f>
        <v>155</v>
      </c>
      <c r="AJ308" t="str">
        <f>"S-SM-4-13"</f>
        <v>S-SM-4-13</v>
      </c>
      <c r="AK308" t="str">
        <f>"10200"</f>
        <v>10200</v>
      </c>
      <c r="AL308" t="str">
        <f t="shared" si="313"/>
        <v>0370</v>
      </c>
      <c r="AM308" t="str">
        <f t="shared" si="314"/>
        <v>ｼﾑ</v>
      </c>
      <c r="AN308" t="str">
        <f t="shared" si="291"/>
        <v>012</v>
      </c>
      <c r="AO308" t="str">
        <f t="shared" si="292"/>
        <v>TP-131 ﾊﾝﾖｳ</v>
      </c>
      <c r="AP308">
        <v>100</v>
      </c>
      <c r="AQ308" t="str">
        <f>""</f>
        <v/>
      </c>
      <c r="AR308" t="str">
        <f>""</f>
        <v/>
      </c>
      <c r="AS308" t="str">
        <f>""</f>
        <v/>
      </c>
      <c r="AT308" t="str">
        <f t="shared" si="293"/>
        <v>00</v>
      </c>
      <c r="AU308">
        <v>0.5</v>
      </c>
      <c r="AV308" t="str">
        <f>""</f>
        <v/>
      </c>
      <c r="AW308" t="str">
        <f t="shared" si="315"/>
        <v>06</v>
      </c>
      <c r="AX308" t="str">
        <f t="shared" si="316"/>
        <v>計画</v>
      </c>
      <c r="AY308" t="str">
        <f t="shared" si="317"/>
        <v>02</v>
      </c>
      <c r="AZ308" t="str">
        <f t="shared" si="318"/>
        <v>計画・２社</v>
      </c>
      <c r="BA308" t="str">
        <f>""</f>
        <v/>
      </c>
      <c r="BB308" t="str">
        <f t="shared" si="294"/>
        <v>ＴＰ１３１フタナシ</v>
      </c>
      <c r="BC308" t="str">
        <f t="shared" si="295"/>
        <v xml:space="preserve"> 335.000</v>
      </c>
      <c r="BD308" t="str">
        <f t="shared" si="296"/>
        <v xml:space="preserve"> 168.000</v>
      </c>
      <c r="BE308" t="str">
        <f t="shared" si="297"/>
        <v xml:space="preserve"> 103.000</v>
      </c>
      <c r="BF308" t="str">
        <f t="shared" si="298"/>
        <v xml:space="preserve">   0.006</v>
      </c>
      <c r="BG308" t="str">
        <f t="shared" si="323"/>
        <v xml:space="preserve">   6.500</v>
      </c>
      <c r="BH308" t="str">
        <f t="shared" si="324"/>
        <v>しない</v>
      </c>
      <c r="BI308" t="str">
        <f>""</f>
        <v/>
      </c>
      <c r="BJ308" t="str">
        <f t="shared" si="321"/>
        <v>MASTER01</v>
      </c>
      <c r="BK308" t="str">
        <f t="shared" si="286"/>
        <v>2022/04/19</v>
      </c>
      <c r="BL308" t="str">
        <f t="shared" si="309"/>
        <v>NE00</v>
      </c>
      <c r="BM308" t="str">
        <f t="shared" si="310"/>
        <v>１工工務Ｇ</v>
      </c>
      <c r="BN308" t="str">
        <f t="shared" si="319"/>
        <v>46548</v>
      </c>
      <c r="BO308" t="str">
        <f t="shared" si="320"/>
        <v>長畑　玲奈</v>
      </c>
    </row>
    <row r="309" spans="1:67">
      <c r="A309" t="s">
        <v>391</v>
      </c>
      <c r="B309" t="str">
        <f>""</f>
        <v/>
      </c>
      <c r="C309" t="str">
        <f>""</f>
        <v/>
      </c>
      <c r="D309" t="str">
        <f t="shared" si="312"/>
        <v>SHIM</v>
      </c>
      <c r="E309" t="str">
        <f t="shared" si="299"/>
        <v>1Y</v>
      </c>
      <c r="F309" t="str">
        <f t="shared" si="300"/>
        <v>第１工場</v>
      </c>
      <c r="G309" t="str">
        <f t="shared" si="301"/>
        <v>手配</v>
      </c>
      <c r="H309" t="str">
        <f t="shared" si="302"/>
        <v>Ｐ</v>
      </c>
      <c r="I309" t="str">
        <f t="shared" si="287"/>
        <v>6454</v>
      </c>
      <c r="J309" t="str">
        <f t="shared" si="288"/>
        <v>（株）ムロコーポレーション</v>
      </c>
      <c r="K309" t="str">
        <f t="shared" si="285"/>
        <v>01</v>
      </c>
      <c r="L309" t="str">
        <f>""</f>
        <v/>
      </c>
      <c r="M309" t="str">
        <f t="shared" si="325"/>
        <v>――</v>
      </c>
      <c r="N309" t="str">
        <f t="shared" si="325"/>
        <v>――</v>
      </c>
      <c r="O309" t="str">
        <f t="shared" si="303"/>
        <v>Ｍ</v>
      </c>
      <c r="P309" t="str">
        <f t="shared" si="304"/>
        <v>01</v>
      </c>
      <c r="Q309" t="str">
        <f t="shared" si="305"/>
        <v>第１</v>
      </c>
      <c r="R309" t="str">
        <f t="shared" si="306"/>
        <v>1Y</v>
      </c>
      <c r="S309" t="str">
        <f t="shared" si="307"/>
        <v>安城第１工場</v>
      </c>
      <c r="T309" t="str">
        <f t="shared" si="308"/>
        <v>直接</v>
      </c>
      <c r="U309" t="str">
        <f>""</f>
        <v/>
      </c>
      <c r="V309" t="str">
        <f>""</f>
        <v/>
      </c>
      <c r="W309" t="str">
        <f>""</f>
        <v/>
      </c>
      <c r="X309">
        <v>1</v>
      </c>
      <c r="Y309">
        <v>1</v>
      </c>
      <c r="Z309">
        <v>0.73</v>
      </c>
      <c r="AA309">
        <v>0.93</v>
      </c>
      <c r="AB309">
        <v>3</v>
      </c>
      <c r="AC309">
        <v>0.93</v>
      </c>
      <c r="AD309">
        <v>0.93</v>
      </c>
      <c r="AE309">
        <v>1.1000000000000001</v>
      </c>
      <c r="AF309">
        <v>0.5</v>
      </c>
      <c r="AG309" t="str">
        <f t="shared" si="289"/>
        <v>205</v>
      </c>
      <c r="AH309" t="str">
        <f t="shared" si="290"/>
        <v>（株）ムロコーポレーション</v>
      </c>
      <c r="AI309" t="str">
        <f>"156"</f>
        <v>156</v>
      </c>
      <c r="AJ309" t="str">
        <f>"S-SM-4-14"</f>
        <v>S-SM-4-14</v>
      </c>
      <c r="AK309" t="str">
        <f>"10201"</f>
        <v>10201</v>
      </c>
      <c r="AL309" t="str">
        <f t="shared" si="313"/>
        <v>0370</v>
      </c>
      <c r="AM309" t="str">
        <f t="shared" si="314"/>
        <v>ｼﾑ</v>
      </c>
      <c r="AN309" t="str">
        <f t="shared" si="291"/>
        <v>012</v>
      </c>
      <c r="AO309" t="str">
        <f t="shared" si="292"/>
        <v>TP-131 ﾊﾝﾖｳ</v>
      </c>
      <c r="AP309">
        <v>100</v>
      </c>
      <c r="AQ309" t="str">
        <f>""</f>
        <v/>
      </c>
      <c r="AR309" t="str">
        <f>""</f>
        <v/>
      </c>
      <c r="AS309" t="str">
        <f>""</f>
        <v/>
      </c>
      <c r="AT309" t="str">
        <f t="shared" si="293"/>
        <v>00</v>
      </c>
      <c r="AU309">
        <v>0.5</v>
      </c>
      <c r="AV309" t="str">
        <f>""</f>
        <v/>
      </c>
      <c r="AW309" t="str">
        <f t="shared" si="315"/>
        <v>06</v>
      </c>
      <c r="AX309" t="str">
        <f t="shared" si="316"/>
        <v>計画</v>
      </c>
      <c r="AY309" t="str">
        <f t="shared" si="317"/>
        <v>02</v>
      </c>
      <c r="AZ309" t="str">
        <f t="shared" si="318"/>
        <v>計画・２社</v>
      </c>
      <c r="BA309" t="str">
        <f>""</f>
        <v/>
      </c>
      <c r="BB309" t="str">
        <f t="shared" si="294"/>
        <v>ＴＰ１３１フタナシ</v>
      </c>
      <c r="BC309" t="str">
        <f t="shared" si="295"/>
        <v xml:space="preserve"> 335.000</v>
      </c>
      <c r="BD309" t="str">
        <f t="shared" si="296"/>
        <v xml:space="preserve"> 168.000</v>
      </c>
      <c r="BE309" t="str">
        <f t="shared" si="297"/>
        <v xml:space="preserve"> 103.000</v>
      </c>
      <c r="BF309" t="str">
        <f t="shared" si="298"/>
        <v xml:space="preserve">   0.006</v>
      </c>
      <c r="BG309" t="str">
        <f t="shared" si="323"/>
        <v xml:space="preserve">   6.500</v>
      </c>
      <c r="BH309" t="str">
        <f t="shared" si="324"/>
        <v>しない</v>
      </c>
      <c r="BI309" t="str">
        <f>""</f>
        <v/>
      </c>
      <c r="BJ309" t="str">
        <f t="shared" si="321"/>
        <v>MASTER01</v>
      </c>
      <c r="BK309" t="str">
        <f t="shared" si="286"/>
        <v>2022/04/19</v>
      </c>
      <c r="BL309" t="str">
        <f t="shared" si="309"/>
        <v>NE00</v>
      </c>
      <c r="BM309" t="str">
        <f t="shared" si="310"/>
        <v>１工工務Ｇ</v>
      </c>
      <c r="BN309" t="str">
        <f t="shared" si="319"/>
        <v>46548</v>
      </c>
      <c r="BO309" t="str">
        <f t="shared" si="320"/>
        <v>長畑　玲奈</v>
      </c>
    </row>
    <row r="310" spans="1:67">
      <c r="A310" t="s">
        <v>392</v>
      </c>
      <c r="B310" t="str">
        <f>""</f>
        <v/>
      </c>
      <c r="C310" t="str">
        <f>""</f>
        <v/>
      </c>
      <c r="D310" t="str">
        <f t="shared" si="312"/>
        <v>SHIM</v>
      </c>
      <c r="E310" t="str">
        <f t="shared" si="299"/>
        <v>1Y</v>
      </c>
      <c r="F310" t="str">
        <f t="shared" si="300"/>
        <v>第１工場</v>
      </c>
      <c r="G310" t="str">
        <f t="shared" si="301"/>
        <v>手配</v>
      </c>
      <c r="H310" t="str">
        <f t="shared" si="302"/>
        <v>Ｐ</v>
      </c>
      <c r="I310" t="str">
        <f t="shared" si="287"/>
        <v>6454</v>
      </c>
      <c r="J310" t="str">
        <f t="shared" si="288"/>
        <v>（株）ムロコーポレーション</v>
      </c>
      <c r="K310" t="str">
        <f t="shared" si="285"/>
        <v>01</v>
      </c>
      <c r="L310" t="str">
        <f>""</f>
        <v/>
      </c>
      <c r="M310" t="str">
        <f t="shared" si="325"/>
        <v>――</v>
      </c>
      <c r="N310" t="str">
        <f t="shared" si="325"/>
        <v>――</v>
      </c>
      <c r="O310" t="str">
        <f t="shared" si="303"/>
        <v>Ｍ</v>
      </c>
      <c r="P310" t="str">
        <f t="shared" si="304"/>
        <v>01</v>
      </c>
      <c r="Q310" t="str">
        <f t="shared" si="305"/>
        <v>第１</v>
      </c>
      <c r="R310" t="str">
        <f t="shared" si="306"/>
        <v>1Y</v>
      </c>
      <c r="S310" t="str">
        <f t="shared" si="307"/>
        <v>安城第１工場</v>
      </c>
      <c r="T310" t="str">
        <f t="shared" si="308"/>
        <v>直接</v>
      </c>
      <c r="U310" t="str">
        <f>""</f>
        <v/>
      </c>
      <c r="V310" t="str">
        <f>""</f>
        <v/>
      </c>
      <c r="W310" t="str">
        <f>""</f>
        <v/>
      </c>
      <c r="X310">
        <v>1</v>
      </c>
      <c r="Y310">
        <v>1</v>
      </c>
      <c r="Z310">
        <v>0.73</v>
      </c>
      <c r="AA310">
        <v>0.93</v>
      </c>
      <c r="AB310">
        <v>3</v>
      </c>
      <c r="AC310">
        <v>0.93</v>
      </c>
      <c r="AD310">
        <v>0.93</v>
      </c>
      <c r="AE310">
        <v>1.1000000000000001</v>
      </c>
      <c r="AF310">
        <v>0.5</v>
      </c>
      <c r="AG310" t="str">
        <f t="shared" si="289"/>
        <v>205</v>
      </c>
      <c r="AH310" t="str">
        <f t="shared" si="290"/>
        <v>（株）ムロコーポレーション</v>
      </c>
      <c r="AI310" t="str">
        <f>"157"</f>
        <v>157</v>
      </c>
      <c r="AJ310" t="str">
        <f>"S-SM-4-15"</f>
        <v>S-SM-4-15</v>
      </c>
      <c r="AK310" t="str">
        <f>"10202"</f>
        <v>10202</v>
      </c>
      <c r="AL310" t="str">
        <f t="shared" si="313"/>
        <v>0370</v>
      </c>
      <c r="AM310" t="str">
        <f t="shared" si="314"/>
        <v>ｼﾑ</v>
      </c>
      <c r="AN310" t="str">
        <f t="shared" si="291"/>
        <v>012</v>
      </c>
      <c r="AO310" t="str">
        <f t="shared" si="292"/>
        <v>TP-131 ﾊﾝﾖｳ</v>
      </c>
      <c r="AP310">
        <v>100</v>
      </c>
      <c r="AQ310" t="str">
        <f>""</f>
        <v/>
      </c>
      <c r="AR310" t="str">
        <f>""</f>
        <v/>
      </c>
      <c r="AS310" t="str">
        <f>""</f>
        <v/>
      </c>
      <c r="AT310" t="str">
        <f t="shared" si="293"/>
        <v>00</v>
      </c>
      <c r="AU310">
        <v>0.5</v>
      </c>
      <c r="AV310" t="str">
        <f>""</f>
        <v/>
      </c>
      <c r="AW310" t="str">
        <f t="shared" si="315"/>
        <v>06</v>
      </c>
      <c r="AX310" t="str">
        <f t="shared" si="316"/>
        <v>計画</v>
      </c>
      <c r="AY310" t="str">
        <f t="shared" si="317"/>
        <v>02</v>
      </c>
      <c r="AZ310" t="str">
        <f t="shared" si="318"/>
        <v>計画・２社</v>
      </c>
      <c r="BA310" t="str">
        <f>""</f>
        <v/>
      </c>
      <c r="BB310" t="str">
        <f t="shared" si="294"/>
        <v>ＴＰ１３１フタナシ</v>
      </c>
      <c r="BC310" t="str">
        <f t="shared" si="295"/>
        <v xml:space="preserve"> 335.000</v>
      </c>
      <c r="BD310" t="str">
        <f t="shared" si="296"/>
        <v xml:space="preserve"> 168.000</v>
      </c>
      <c r="BE310" t="str">
        <f t="shared" si="297"/>
        <v xml:space="preserve"> 103.000</v>
      </c>
      <c r="BF310" t="str">
        <f t="shared" si="298"/>
        <v xml:space="preserve">   0.006</v>
      </c>
      <c r="BG310" t="str">
        <f t="shared" si="323"/>
        <v xml:space="preserve">   6.500</v>
      </c>
      <c r="BH310" t="str">
        <f t="shared" si="324"/>
        <v>しない</v>
      </c>
      <c r="BI310" t="str">
        <f>""</f>
        <v/>
      </c>
      <c r="BJ310" t="str">
        <f t="shared" si="321"/>
        <v>MASTER01</v>
      </c>
      <c r="BK310" t="str">
        <f t="shared" si="286"/>
        <v>2022/04/19</v>
      </c>
      <c r="BL310" t="str">
        <f t="shared" si="309"/>
        <v>NE00</v>
      </c>
      <c r="BM310" t="str">
        <f t="shared" si="310"/>
        <v>１工工務Ｇ</v>
      </c>
      <c r="BN310" t="str">
        <f t="shared" si="319"/>
        <v>46548</v>
      </c>
      <c r="BO310" t="str">
        <f t="shared" si="320"/>
        <v>長畑　玲奈</v>
      </c>
    </row>
    <row r="311" spans="1:67">
      <c r="A311" t="s">
        <v>393</v>
      </c>
      <c r="B311" t="str">
        <f>""</f>
        <v/>
      </c>
      <c r="C311" t="str">
        <f>""</f>
        <v/>
      </c>
      <c r="D311" t="str">
        <f t="shared" si="312"/>
        <v>SHIM</v>
      </c>
      <c r="E311" t="str">
        <f t="shared" si="299"/>
        <v>1Y</v>
      </c>
      <c r="F311" t="str">
        <f t="shared" si="300"/>
        <v>第１工場</v>
      </c>
      <c r="G311" t="str">
        <f t="shared" si="301"/>
        <v>手配</v>
      </c>
      <c r="H311" t="str">
        <f t="shared" si="302"/>
        <v>Ｐ</v>
      </c>
      <c r="I311" t="str">
        <f t="shared" si="287"/>
        <v>6454</v>
      </c>
      <c r="J311" t="str">
        <f t="shared" si="288"/>
        <v>（株）ムロコーポレーション</v>
      </c>
      <c r="K311" t="str">
        <f t="shared" si="285"/>
        <v>01</v>
      </c>
      <c r="L311" t="str">
        <f>""</f>
        <v/>
      </c>
      <c r="M311" t="str">
        <f t="shared" si="325"/>
        <v>――</v>
      </c>
      <c r="N311" t="str">
        <f t="shared" si="325"/>
        <v>――</v>
      </c>
      <c r="O311" t="str">
        <f t="shared" si="303"/>
        <v>Ｍ</v>
      </c>
      <c r="P311" t="str">
        <f t="shared" si="304"/>
        <v>01</v>
      </c>
      <c r="Q311" t="str">
        <f t="shared" si="305"/>
        <v>第１</v>
      </c>
      <c r="R311" t="str">
        <f t="shared" si="306"/>
        <v>1Y</v>
      </c>
      <c r="S311" t="str">
        <f t="shared" si="307"/>
        <v>安城第１工場</v>
      </c>
      <c r="T311" t="str">
        <f t="shared" si="308"/>
        <v>直接</v>
      </c>
      <c r="U311" t="str">
        <f>""</f>
        <v/>
      </c>
      <c r="V311" t="str">
        <f>""</f>
        <v/>
      </c>
      <c r="W311" t="str">
        <f>""</f>
        <v/>
      </c>
      <c r="X311">
        <v>1</v>
      </c>
      <c r="Y311">
        <v>1</v>
      </c>
      <c r="Z311">
        <v>0.73</v>
      </c>
      <c r="AA311">
        <v>0.93</v>
      </c>
      <c r="AB311">
        <v>3</v>
      </c>
      <c r="AC311">
        <v>0.93</v>
      </c>
      <c r="AD311">
        <v>0.93</v>
      </c>
      <c r="AE311">
        <v>1.1000000000000001</v>
      </c>
      <c r="AF311">
        <v>0.5</v>
      </c>
      <c r="AG311" t="str">
        <f t="shared" si="289"/>
        <v>205</v>
      </c>
      <c r="AH311" t="str">
        <f t="shared" si="290"/>
        <v>（株）ムロコーポレーション</v>
      </c>
      <c r="AI311" t="str">
        <f>"158"</f>
        <v>158</v>
      </c>
      <c r="AJ311" t="str">
        <f>"S-SM-2-1"</f>
        <v>S-SM-2-1</v>
      </c>
      <c r="AK311" t="str">
        <f>"10203"</f>
        <v>10203</v>
      </c>
      <c r="AL311" t="str">
        <f t="shared" si="313"/>
        <v>0370</v>
      </c>
      <c r="AM311" t="str">
        <f t="shared" si="314"/>
        <v>ｼﾑ</v>
      </c>
      <c r="AN311" t="str">
        <f t="shared" si="291"/>
        <v>012</v>
      </c>
      <c r="AO311" t="str">
        <f t="shared" si="292"/>
        <v>TP-131 ﾊﾝﾖｳ</v>
      </c>
      <c r="AP311">
        <v>100</v>
      </c>
      <c r="AQ311" t="str">
        <f>""</f>
        <v/>
      </c>
      <c r="AR311" t="str">
        <f>""</f>
        <v/>
      </c>
      <c r="AS311" t="str">
        <f>""</f>
        <v/>
      </c>
      <c r="AT311" t="str">
        <f t="shared" si="293"/>
        <v>00</v>
      </c>
      <c r="AU311">
        <v>0.5</v>
      </c>
      <c r="AV311" t="str">
        <f>""</f>
        <v/>
      </c>
      <c r="AW311" t="str">
        <f t="shared" si="315"/>
        <v>06</v>
      </c>
      <c r="AX311" t="str">
        <f t="shared" si="316"/>
        <v>計画</v>
      </c>
      <c r="AY311" t="str">
        <f t="shared" si="317"/>
        <v>02</v>
      </c>
      <c r="AZ311" t="str">
        <f t="shared" si="318"/>
        <v>計画・２社</v>
      </c>
      <c r="BA311" t="str">
        <f>""</f>
        <v/>
      </c>
      <c r="BB311" t="str">
        <f t="shared" si="294"/>
        <v>ＴＰ１３１フタナシ</v>
      </c>
      <c r="BC311" t="str">
        <f t="shared" si="295"/>
        <v xml:space="preserve"> 335.000</v>
      </c>
      <c r="BD311" t="str">
        <f t="shared" si="296"/>
        <v xml:space="preserve"> 168.000</v>
      </c>
      <c r="BE311" t="str">
        <f t="shared" si="297"/>
        <v xml:space="preserve"> 103.000</v>
      </c>
      <c r="BF311" t="str">
        <f t="shared" si="298"/>
        <v xml:space="preserve">   0.006</v>
      </c>
      <c r="BG311" t="str">
        <f t="shared" si="323"/>
        <v xml:space="preserve">   6.500</v>
      </c>
      <c r="BH311" t="str">
        <f t="shared" si="324"/>
        <v>しない</v>
      </c>
      <c r="BI311" t="str">
        <f>""</f>
        <v/>
      </c>
      <c r="BJ311" t="str">
        <f t="shared" si="321"/>
        <v>MASTER01</v>
      </c>
      <c r="BK311" t="str">
        <f t="shared" si="286"/>
        <v>2022/04/19</v>
      </c>
      <c r="BL311" t="str">
        <f t="shared" si="309"/>
        <v>NE00</v>
      </c>
      <c r="BM311" t="str">
        <f t="shared" si="310"/>
        <v>１工工務Ｇ</v>
      </c>
      <c r="BN311" t="str">
        <f t="shared" si="319"/>
        <v>46548</v>
      </c>
      <c r="BO311" t="str">
        <f t="shared" si="320"/>
        <v>長畑　玲奈</v>
      </c>
    </row>
    <row r="312" spans="1:67">
      <c r="A312" t="s">
        <v>394</v>
      </c>
      <c r="B312" t="str">
        <f>""</f>
        <v/>
      </c>
      <c r="C312" t="str">
        <f>""</f>
        <v/>
      </c>
      <c r="D312" t="str">
        <f t="shared" si="312"/>
        <v>SHIM</v>
      </c>
      <c r="E312" t="str">
        <f t="shared" si="299"/>
        <v>1Y</v>
      </c>
      <c r="F312" t="str">
        <f t="shared" si="300"/>
        <v>第１工場</v>
      </c>
      <c r="G312" t="str">
        <f t="shared" si="301"/>
        <v>手配</v>
      </c>
      <c r="H312" t="str">
        <f t="shared" si="302"/>
        <v>Ｐ</v>
      </c>
      <c r="I312" t="str">
        <f t="shared" si="287"/>
        <v>6454</v>
      </c>
      <c r="J312" t="str">
        <f t="shared" si="288"/>
        <v>（株）ムロコーポレーション</v>
      </c>
      <c r="K312" t="str">
        <f t="shared" si="285"/>
        <v>01</v>
      </c>
      <c r="L312" t="str">
        <f>""</f>
        <v/>
      </c>
      <c r="M312" t="str">
        <f t="shared" si="325"/>
        <v>――</v>
      </c>
      <c r="N312" t="str">
        <f t="shared" si="325"/>
        <v>――</v>
      </c>
      <c r="O312" t="str">
        <f t="shared" si="303"/>
        <v>Ｍ</v>
      </c>
      <c r="P312" t="str">
        <f t="shared" si="304"/>
        <v>01</v>
      </c>
      <c r="Q312" t="str">
        <f t="shared" si="305"/>
        <v>第１</v>
      </c>
      <c r="R312" t="str">
        <f t="shared" si="306"/>
        <v>1Y</v>
      </c>
      <c r="S312" t="str">
        <f t="shared" si="307"/>
        <v>安城第１工場</v>
      </c>
      <c r="T312" t="str">
        <f t="shared" si="308"/>
        <v>直接</v>
      </c>
      <c r="U312" t="str">
        <f>""</f>
        <v/>
      </c>
      <c r="V312" t="str">
        <f>""</f>
        <v/>
      </c>
      <c r="W312" t="str">
        <f>""</f>
        <v/>
      </c>
      <c r="X312">
        <v>1</v>
      </c>
      <c r="Y312">
        <v>1</v>
      </c>
      <c r="Z312">
        <v>0.73</v>
      </c>
      <c r="AA312">
        <v>0.93</v>
      </c>
      <c r="AB312">
        <v>3</v>
      </c>
      <c r="AC312">
        <v>0.93</v>
      </c>
      <c r="AD312">
        <v>0.93</v>
      </c>
      <c r="AE312">
        <v>1.1000000000000001</v>
      </c>
      <c r="AF312">
        <v>0.5</v>
      </c>
      <c r="AG312" t="str">
        <f t="shared" si="289"/>
        <v>205</v>
      </c>
      <c r="AH312" t="str">
        <f t="shared" si="290"/>
        <v>（株）ムロコーポレーション</v>
      </c>
      <c r="AI312" t="str">
        <f>"159"</f>
        <v>159</v>
      </c>
      <c r="AJ312" t="str">
        <f>"S-SM-2-2"</f>
        <v>S-SM-2-2</v>
      </c>
      <c r="AK312" t="str">
        <f>"10204"</f>
        <v>10204</v>
      </c>
      <c r="AL312" t="str">
        <f t="shared" si="313"/>
        <v>0370</v>
      </c>
      <c r="AM312" t="str">
        <f t="shared" si="314"/>
        <v>ｼﾑ</v>
      </c>
      <c r="AN312" t="str">
        <f t="shared" si="291"/>
        <v>012</v>
      </c>
      <c r="AO312" t="str">
        <f t="shared" si="292"/>
        <v>TP-131 ﾊﾝﾖｳ</v>
      </c>
      <c r="AP312">
        <v>100</v>
      </c>
      <c r="AQ312" t="str">
        <f>""</f>
        <v/>
      </c>
      <c r="AR312" t="str">
        <f>""</f>
        <v/>
      </c>
      <c r="AS312" t="str">
        <f>""</f>
        <v/>
      </c>
      <c r="AT312" t="str">
        <f t="shared" si="293"/>
        <v>00</v>
      </c>
      <c r="AU312">
        <v>0.5</v>
      </c>
      <c r="AV312" t="str">
        <f>""</f>
        <v/>
      </c>
      <c r="AW312" t="str">
        <f t="shared" si="315"/>
        <v>06</v>
      </c>
      <c r="AX312" t="str">
        <f t="shared" si="316"/>
        <v>計画</v>
      </c>
      <c r="AY312" t="str">
        <f t="shared" si="317"/>
        <v>02</v>
      </c>
      <c r="AZ312" t="str">
        <f t="shared" si="318"/>
        <v>計画・２社</v>
      </c>
      <c r="BA312" t="str">
        <f>""</f>
        <v/>
      </c>
      <c r="BB312" t="str">
        <f t="shared" si="294"/>
        <v>ＴＰ１３１フタナシ</v>
      </c>
      <c r="BC312" t="str">
        <f t="shared" si="295"/>
        <v xml:space="preserve"> 335.000</v>
      </c>
      <c r="BD312" t="str">
        <f t="shared" si="296"/>
        <v xml:space="preserve"> 168.000</v>
      </c>
      <c r="BE312" t="str">
        <f t="shared" si="297"/>
        <v xml:space="preserve"> 103.000</v>
      </c>
      <c r="BF312" t="str">
        <f t="shared" si="298"/>
        <v xml:space="preserve">   0.006</v>
      </c>
      <c r="BG312" t="str">
        <f t="shared" si="323"/>
        <v xml:space="preserve">   6.500</v>
      </c>
      <c r="BH312" t="str">
        <f t="shared" si="324"/>
        <v>しない</v>
      </c>
      <c r="BI312" t="str">
        <f>""</f>
        <v/>
      </c>
      <c r="BJ312" t="str">
        <f t="shared" si="321"/>
        <v>MASTER01</v>
      </c>
      <c r="BK312" t="str">
        <f t="shared" si="286"/>
        <v>2022/04/19</v>
      </c>
      <c r="BL312" t="str">
        <f t="shared" si="309"/>
        <v>NE00</v>
      </c>
      <c r="BM312" t="str">
        <f t="shared" si="310"/>
        <v>１工工務Ｇ</v>
      </c>
      <c r="BN312" t="str">
        <f t="shared" si="319"/>
        <v>46548</v>
      </c>
      <c r="BO312" t="str">
        <f t="shared" si="320"/>
        <v>長畑　玲奈</v>
      </c>
    </row>
    <row r="313" spans="1:67">
      <c r="A313" t="s">
        <v>395</v>
      </c>
      <c r="B313" t="str">
        <f>""</f>
        <v/>
      </c>
      <c r="C313" t="str">
        <f>""</f>
        <v/>
      </c>
      <c r="D313" t="str">
        <f t="shared" si="312"/>
        <v>SHIM</v>
      </c>
      <c r="E313" t="str">
        <f t="shared" si="299"/>
        <v>1Y</v>
      </c>
      <c r="F313" t="str">
        <f t="shared" si="300"/>
        <v>第１工場</v>
      </c>
      <c r="G313" t="str">
        <f t="shared" si="301"/>
        <v>手配</v>
      </c>
      <c r="H313" t="str">
        <f t="shared" si="302"/>
        <v>Ｐ</v>
      </c>
      <c r="I313" t="str">
        <f t="shared" si="287"/>
        <v>6454</v>
      </c>
      <c r="J313" t="str">
        <f t="shared" si="288"/>
        <v>（株）ムロコーポレーション</v>
      </c>
      <c r="K313" t="str">
        <f t="shared" si="285"/>
        <v>01</v>
      </c>
      <c r="L313" t="str">
        <f>""</f>
        <v/>
      </c>
      <c r="M313" t="str">
        <f t="shared" si="325"/>
        <v>――</v>
      </c>
      <c r="N313" t="str">
        <f t="shared" si="325"/>
        <v>――</v>
      </c>
      <c r="O313" t="str">
        <f t="shared" si="303"/>
        <v>Ｍ</v>
      </c>
      <c r="P313" t="str">
        <f t="shared" si="304"/>
        <v>01</v>
      </c>
      <c r="Q313" t="str">
        <f t="shared" si="305"/>
        <v>第１</v>
      </c>
      <c r="R313" t="str">
        <f t="shared" si="306"/>
        <v>1Y</v>
      </c>
      <c r="S313" t="str">
        <f t="shared" si="307"/>
        <v>安城第１工場</v>
      </c>
      <c r="T313" t="str">
        <f t="shared" si="308"/>
        <v>直接</v>
      </c>
      <c r="U313" t="str">
        <f>""</f>
        <v/>
      </c>
      <c r="V313" t="str">
        <f>""</f>
        <v/>
      </c>
      <c r="W313" t="str">
        <f>""</f>
        <v/>
      </c>
      <c r="X313">
        <v>1</v>
      </c>
      <c r="Y313">
        <v>1</v>
      </c>
      <c r="Z313">
        <v>0.73</v>
      </c>
      <c r="AA313">
        <v>0.93</v>
      </c>
      <c r="AB313">
        <v>3</v>
      </c>
      <c r="AC313">
        <v>0.93</v>
      </c>
      <c r="AD313">
        <v>0.93</v>
      </c>
      <c r="AE313">
        <v>1.1000000000000001</v>
      </c>
      <c r="AF313">
        <v>0.5</v>
      </c>
      <c r="AG313" t="str">
        <f t="shared" si="289"/>
        <v>205</v>
      </c>
      <c r="AH313" t="str">
        <f t="shared" si="290"/>
        <v>（株）ムロコーポレーション</v>
      </c>
      <c r="AI313" t="str">
        <f>"160"</f>
        <v>160</v>
      </c>
      <c r="AJ313" t="str">
        <f>"S-SM-2-3"</f>
        <v>S-SM-2-3</v>
      </c>
      <c r="AK313" t="str">
        <f>"10205"</f>
        <v>10205</v>
      </c>
      <c r="AL313" t="str">
        <f t="shared" si="313"/>
        <v>0370</v>
      </c>
      <c r="AM313" t="str">
        <f t="shared" si="314"/>
        <v>ｼﾑ</v>
      </c>
      <c r="AN313" t="str">
        <f t="shared" si="291"/>
        <v>012</v>
      </c>
      <c r="AO313" t="str">
        <f t="shared" si="292"/>
        <v>TP-131 ﾊﾝﾖｳ</v>
      </c>
      <c r="AP313">
        <v>100</v>
      </c>
      <c r="AQ313" t="str">
        <f>""</f>
        <v/>
      </c>
      <c r="AR313" t="str">
        <f>""</f>
        <v/>
      </c>
      <c r="AS313" t="str">
        <f>""</f>
        <v/>
      </c>
      <c r="AT313" t="str">
        <f t="shared" si="293"/>
        <v>00</v>
      </c>
      <c r="AU313">
        <v>0.5</v>
      </c>
      <c r="AV313" t="str">
        <f>""</f>
        <v/>
      </c>
      <c r="AW313" t="str">
        <f t="shared" si="315"/>
        <v>06</v>
      </c>
      <c r="AX313" t="str">
        <f t="shared" si="316"/>
        <v>計画</v>
      </c>
      <c r="AY313" t="str">
        <f t="shared" si="317"/>
        <v>02</v>
      </c>
      <c r="AZ313" t="str">
        <f t="shared" si="318"/>
        <v>計画・２社</v>
      </c>
      <c r="BA313" t="str">
        <f>""</f>
        <v/>
      </c>
      <c r="BB313" t="str">
        <f t="shared" si="294"/>
        <v>ＴＰ１３１フタナシ</v>
      </c>
      <c r="BC313" t="str">
        <f t="shared" si="295"/>
        <v xml:space="preserve"> 335.000</v>
      </c>
      <c r="BD313" t="str">
        <f t="shared" si="296"/>
        <v xml:space="preserve"> 168.000</v>
      </c>
      <c r="BE313" t="str">
        <f t="shared" si="297"/>
        <v xml:space="preserve"> 103.000</v>
      </c>
      <c r="BF313" t="str">
        <f t="shared" si="298"/>
        <v xml:space="preserve">   0.006</v>
      </c>
      <c r="BG313" t="str">
        <f t="shared" si="323"/>
        <v xml:space="preserve">   6.500</v>
      </c>
      <c r="BH313" t="str">
        <f t="shared" si="324"/>
        <v>しない</v>
      </c>
      <c r="BI313" t="str">
        <f>""</f>
        <v/>
      </c>
      <c r="BJ313" t="str">
        <f t="shared" si="321"/>
        <v>MASTER01</v>
      </c>
      <c r="BK313" t="str">
        <f t="shared" si="286"/>
        <v>2022/04/19</v>
      </c>
      <c r="BL313" t="str">
        <f t="shared" si="309"/>
        <v>NE00</v>
      </c>
      <c r="BM313" t="str">
        <f t="shared" si="310"/>
        <v>１工工務Ｇ</v>
      </c>
      <c r="BN313" t="str">
        <f t="shared" si="319"/>
        <v>46548</v>
      </c>
      <c r="BO313" t="str">
        <f t="shared" si="320"/>
        <v>長畑　玲奈</v>
      </c>
    </row>
    <row r="314" spans="1:67">
      <c r="A314" t="s">
        <v>396</v>
      </c>
      <c r="B314" t="str">
        <f>""</f>
        <v/>
      </c>
      <c r="C314" t="str">
        <f>""</f>
        <v/>
      </c>
      <c r="D314" t="str">
        <f t="shared" si="312"/>
        <v>SHIM</v>
      </c>
      <c r="E314" t="str">
        <f t="shared" si="299"/>
        <v>1Y</v>
      </c>
      <c r="F314" t="str">
        <f t="shared" si="300"/>
        <v>第１工場</v>
      </c>
      <c r="G314" t="str">
        <f t="shared" si="301"/>
        <v>手配</v>
      </c>
      <c r="H314" t="str">
        <f t="shared" si="302"/>
        <v>Ｐ</v>
      </c>
      <c r="I314" t="str">
        <f t="shared" si="287"/>
        <v>6454</v>
      </c>
      <c r="J314" t="str">
        <f t="shared" si="288"/>
        <v>（株）ムロコーポレーション</v>
      </c>
      <c r="K314" t="str">
        <f t="shared" si="285"/>
        <v>01</v>
      </c>
      <c r="L314" t="str">
        <f>""</f>
        <v/>
      </c>
      <c r="M314" t="str">
        <f t="shared" si="325"/>
        <v>――</v>
      </c>
      <c r="N314" t="str">
        <f t="shared" si="325"/>
        <v>――</v>
      </c>
      <c r="O314" t="str">
        <f t="shared" si="303"/>
        <v>Ｍ</v>
      </c>
      <c r="P314" t="str">
        <f t="shared" si="304"/>
        <v>01</v>
      </c>
      <c r="Q314" t="str">
        <f t="shared" si="305"/>
        <v>第１</v>
      </c>
      <c r="R314" t="str">
        <f t="shared" si="306"/>
        <v>1Y</v>
      </c>
      <c r="S314" t="str">
        <f t="shared" si="307"/>
        <v>安城第１工場</v>
      </c>
      <c r="T314" t="str">
        <f t="shared" si="308"/>
        <v>直接</v>
      </c>
      <c r="U314" t="str">
        <f>""</f>
        <v/>
      </c>
      <c r="V314" t="str">
        <f>""</f>
        <v/>
      </c>
      <c r="W314" t="str">
        <f>""</f>
        <v/>
      </c>
      <c r="X314">
        <v>1</v>
      </c>
      <c r="Y314">
        <v>1</v>
      </c>
      <c r="Z314">
        <v>0.73</v>
      </c>
      <c r="AA314">
        <v>0.93</v>
      </c>
      <c r="AB314">
        <v>3</v>
      </c>
      <c r="AC314">
        <v>0.93</v>
      </c>
      <c r="AD314">
        <v>0.93</v>
      </c>
      <c r="AE314">
        <v>1.1000000000000001</v>
      </c>
      <c r="AF314">
        <v>0.5</v>
      </c>
      <c r="AG314" t="str">
        <f t="shared" si="289"/>
        <v>205</v>
      </c>
      <c r="AH314" t="str">
        <f t="shared" si="290"/>
        <v>（株）ムロコーポレーション</v>
      </c>
      <c r="AI314" t="str">
        <f>"161"</f>
        <v>161</v>
      </c>
      <c r="AJ314" t="str">
        <f>"S-SM-2-4"</f>
        <v>S-SM-2-4</v>
      </c>
      <c r="AK314" t="str">
        <f>"10206"</f>
        <v>10206</v>
      </c>
      <c r="AL314" t="str">
        <f t="shared" si="313"/>
        <v>0370</v>
      </c>
      <c r="AM314" t="str">
        <f t="shared" si="314"/>
        <v>ｼﾑ</v>
      </c>
      <c r="AN314" t="str">
        <f t="shared" si="291"/>
        <v>012</v>
      </c>
      <c r="AO314" t="str">
        <f t="shared" si="292"/>
        <v>TP-131 ﾊﾝﾖｳ</v>
      </c>
      <c r="AP314">
        <v>100</v>
      </c>
      <c r="AQ314" t="str">
        <f>""</f>
        <v/>
      </c>
      <c r="AR314" t="str">
        <f>""</f>
        <v/>
      </c>
      <c r="AS314" t="str">
        <f>""</f>
        <v/>
      </c>
      <c r="AT314" t="str">
        <f t="shared" si="293"/>
        <v>00</v>
      </c>
      <c r="AU314">
        <v>0.5</v>
      </c>
      <c r="AV314" t="str">
        <f>""</f>
        <v/>
      </c>
      <c r="AW314" t="str">
        <f t="shared" si="315"/>
        <v>06</v>
      </c>
      <c r="AX314" t="str">
        <f t="shared" si="316"/>
        <v>計画</v>
      </c>
      <c r="AY314" t="str">
        <f t="shared" si="317"/>
        <v>02</v>
      </c>
      <c r="AZ314" t="str">
        <f t="shared" si="318"/>
        <v>計画・２社</v>
      </c>
      <c r="BA314" t="str">
        <f>""</f>
        <v/>
      </c>
      <c r="BB314" t="str">
        <f t="shared" si="294"/>
        <v>ＴＰ１３１フタナシ</v>
      </c>
      <c r="BC314" t="str">
        <f t="shared" si="295"/>
        <v xml:space="preserve"> 335.000</v>
      </c>
      <c r="BD314" t="str">
        <f t="shared" si="296"/>
        <v xml:space="preserve"> 168.000</v>
      </c>
      <c r="BE314" t="str">
        <f t="shared" si="297"/>
        <v xml:space="preserve"> 103.000</v>
      </c>
      <c r="BF314" t="str">
        <f t="shared" si="298"/>
        <v xml:space="preserve">   0.006</v>
      </c>
      <c r="BG314" t="str">
        <f t="shared" si="323"/>
        <v xml:space="preserve">   6.500</v>
      </c>
      <c r="BH314" t="str">
        <f t="shared" si="324"/>
        <v>しない</v>
      </c>
      <c r="BI314" t="str">
        <f>""</f>
        <v/>
      </c>
      <c r="BJ314" t="str">
        <f t="shared" si="321"/>
        <v>MASTER01</v>
      </c>
      <c r="BK314" t="str">
        <f t="shared" si="286"/>
        <v>2022/04/19</v>
      </c>
      <c r="BL314" t="str">
        <f t="shared" si="309"/>
        <v>NE00</v>
      </c>
      <c r="BM314" t="str">
        <f t="shared" si="310"/>
        <v>１工工務Ｇ</v>
      </c>
      <c r="BN314" t="str">
        <f t="shared" si="319"/>
        <v>46548</v>
      </c>
      <c r="BO314" t="str">
        <f t="shared" si="320"/>
        <v>長畑　玲奈</v>
      </c>
    </row>
    <row r="315" spans="1:67">
      <c r="A315" t="s">
        <v>397</v>
      </c>
      <c r="B315" t="str">
        <f>""</f>
        <v/>
      </c>
      <c r="C315" t="str">
        <f>""</f>
        <v/>
      </c>
      <c r="D315" t="str">
        <f t="shared" si="312"/>
        <v>SHIM</v>
      </c>
      <c r="E315" t="str">
        <f t="shared" si="299"/>
        <v>1Y</v>
      </c>
      <c r="F315" t="str">
        <f t="shared" si="300"/>
        <v>第１工場</v>
      </c>
      <c r="G315" t="str">
        <f t="shared" si="301"/>
        <v>手配</v>
      </c>
      <c r="H315" t="str">
        <f t="shared" si="302"/>
        <v>Ｐ</v>
      </c>
      <c r="I315" t="str">
        <f t="shared" si="287"/>
        <v>6454</v>
      </c>
      <c r="J315" t="str">
        <f t="shared" si="288"/>
        <v>（株）ムロコーポレーション</v>
      </c>
      <c r="K315" t="str">
        <f t="shared" si="285"/>
        <v>01</v>
      </c>
      <c r="L315" t="str">
        <f>""</f>
        <v/>
      </c>
      <c r="M315" t="str">
        <f t="shared" si="325"/>
        <v>――</v>
      </c>
      <c r="N315" t="str">
        <f t="shared" si="325"/>
        <v>――</v>
      </c>
      <c r="O315" t="str">
        <f t="shared" si="303"/>
        <v>Ｍ</v>
      </c>
      <c r="P315" t="str">
        <f t="shared" si="304"/>
        <v>01</v>
      </c>
      <c r="Q315" t="str">
        <f t="shared" si="305"/>
        <v>第１</v>
      </c>
      <c r="R315" t="str">
        <f t="shared" si="306"/>
        <v>1Y</v>
      </c>
      <c r="S315" t="str">
        <f t="shared" si="307"/>
        <v>安城第１工場</v>
      </c>
      <c r="T315" t="str">
        <f t="shared" si="308"/>
        <v>直接</v>
      </c>
      <c r="U315" t="str">
        <f>""</f>
        <v/>
      </c>
      <c r="V315" t="str">
        <f>""</f>
        <v/>
      </c>
      <c r="W315" t="str">
        <f>""</f>
        <v/>
      </c>
      <c r="X315">
        <v>1</v>
      </c>
      <c r="Y315">
        <v>1</v>
      </c>
      <c r="Z315">
        <v>0.73</v>
      </c>
      <c r="AA315">
        <v>0.93</v>
      </c>
      <c r="AB315">
        <v>3</v>
      </c>
      <c r="AC315">
        <v>0.93</v>
      </c>
      <c r="AD315">
        <v>0.93</v>
      </c>
      <c r="AE315">
        <v>1.1000000000000001</v>
      </c>
      <c r="AF315">
        <v>0.5</v>
      </c>
      <c r="AG315" t="str">
        <f t="shared" si="289"/>
        <v>205</v>
      </c>
      <c r="AH315" t="str">
        <f t="shared" si="290"/>
        <v>（株）ムロコーポレーション</v>
      </c>
      <c r="AI315" t="str">
        <f>"162"</f>
        <v>162</v>
      </c>
      <c r="AJ315" t="str">
        <f>"S-SM-2-5"</f>
        <v>S-SM-2-5</v>
      </c>
      <c r="AK315" t="str">
        <f>"10207"</f>
        <v>10207</v>
      </c>
      <c r="AL315" t="str">
        <f t="shared" si="313"/>
        <v>0370</v>
      </c>
      <c r="AM315" t="str">
        <f t="shared" si="314"/>
        <v>ｼﾑ</v>
      </c>
      <c r="AN315" t="str">
        <f t="shared" si="291"/>
        <v>012</v>
      </c>
      <c r="AO315" t="str">
        <f t="shared" si="292"/>
        <v>TP-131 ﾊﾝﾖｳ</v>
      </c>
      <c r="AP315">
        <v>100</v>
      </c>
      <c r="AQ315" t="str">
        <f>""</f>
        <v/>
      </c>
      <c r="AR315" t="str">
        <f>""</f>
        <v/>
      </c>
      <c r="AS315" t="str">
        <f>""</f>
        <v/>
      </c>
      <c r="AT315" t="str">
        <f t="shared" si="293"/>
        <v>00</v>
      </c>
      <c r="AU315">
        <v>0.5</v>
      </c>
      <c r="AV315" t="str">
        <f>""</f>
        <v/>
      </c>
      <c r="AW315" t="str">
        <f t="shared" si="315"/>
        <v>06</v>
      </c>
      <c r="AX315" t="str">
        <f t="shared" si="316"/>
        <v>計画</v>
      </c>
      <c r="AY315" t="str">
        <f t="shared" si="317"/>
        <v>02</v>
      </c>
      <c r="AZ315" t="str">
        <f t="shared" si="318"/>
        <v>計画・２社</v>
      </c>
      <c r="BA315" t="str">
        <f>""</f>
        <v/>
      </c>
      <c r="BB315" t="str">
        <f t="shared" si="294"/>
        <v>ＴＰ１３１フタナシ</v>
      </c>
      <c r="BC315" t="str">
        <f t="shared" si="295"/>
        <v xml:space="preserve"> 335.000</v>
      </c>
      <c r="BD315" t="str">
        <f t="shared" si="296"/>
        <v xml:space="preserve"> 168.000</v>
      </c>
      <c r="BE315" t="str">
        <f t="shared" si="297"/>
        <v xml:space="preserve"> 103.000</v>
      </c>
      <c r="BF315" t="str">
        <f t="shared" si="298"/>
        <v xml:space="preserve">   0.006</v>
      </c>
      <c r="BG315" t="str">
        <f t="shared" si="323"/>
        <v xml:space="preserve">   6.500</v>
      </c>
      <c r="BH315" t="str">
        <f t="shared" si="324"/>
        <v>しない</v>
      </c>
      <c r="BI315" t="str">
        <f>""</f>
        <v/>
      </c>
      <c r="BJ315" t="str">
        <f t="shared" si="321"/>
        <v>MASTER01</v>
      </c>
      <c r="BK315" t="str">
        <f t="shared" si="286"/>
        <v>2022/04/19</v>
      </c>
      <c r="BL315" t="str">
        <f t="shared" si="309"/>
        <v>NE00</v>
      </c>
      <c r="BM315" t="str">
        <f t="shared" si="310"/>
        <v>１工工務Ｇ</v>
      </c>
      <c r="BN315" t="str">
        <f t="shared" si="319"/>
        <v>46548</v>
      </c>
      <c r="BO315" t="str">
        <f t="shared" si="320"/>
        <v>長畑　玲奈</v>
      </c>
    </row>
    <row r="316" spans="1:67">
      <c r="A316" t="s">
        <v>398</v>
      </c>
      <c r="B316" t="str">
        <f>""</f>
        <v/>
      </c>
      <c r="C316" t="str">
        <f>""</f>
        <v/>
      </c>
      <c r="D316" t="str">
        <f t="shared" si="312"/>
        <v>SHIM</v>
      </c>
      <c r="E316" t="str">
        <f t="shared" si="299"/>
        <v>1Y</v>
      </c>
      <c r="F316" t="str">
        <f t="shared" si="300"/>
        <v>第１工場</v>
      </c>
      <c r="G316" t="str">
        <f t="shared" si="301"/>
        <v>手配</v>
      </c>
      <c r="H316" t="str">
        <f t="shared" si="302"/>
        <v>Ｐ</v>
      </c>
      <c r="I316" t="str">
        <f t="shared" si="287"/>
        <v>6454</v>
      </c>
      <c r="J316" t="str">
        <f t="shared" si="288"/>
        <v>（株）ムロコーポレーション</v>
      </c>
      <c r="K316" t="str">
        <f t="shared" ref="K316:K379" si="326">"01"</f>
        <v>01</v>
      </c>
      <c r="L316" t="str">
        <f>""</f>
        <v/>
      </c>
      <c r="M316" t="str">
        <f t="shared" si="325"/>
        <v>――</v>
      </c>
      <c r="N316" t="str">
        <f t="shared" si="325"/>
        <v>――</v>
      </c>
      <c r="O316" t="str">
        <f t="shared" si="303"/>
        <v>Ｍ</v>
      </c>
      <c r="P316" t="str">
        <f t="shared" si="304"/>
        <v>01</v>
      </c>
      <c r="Q316" t="str">
        <f t="shared" si="305"/>
        <v>第１</v>
      </c>
      <c r="R316" t="str">
        <f t="shared" si="306"/>
        <v>1Y</v>
      </c>
      <c r="S316" t="str">
        <f t="shared" si="307"/>
        <v>安城第１工場</v>
      </c>
      <c r="T316" t="str">
        <f t="shared" si="308"/>
        <v>直接</v>
      </c>
      <c r="U316" t="str">
        <f>""</f>
        <v/>
      </c>
      <c r="V316" t="str">
        <f>""</f>
        <v/>
      </c>
      <c r="W316" t="str">
        <f>""</f>
        <v/>
      </c>
      <c r="X316">
        <v>1</v>
      </c>
      <c r="Y316">
        <v>1</v>
      </c>
      <c r="Z316">
        <v>0.73</v>
      </c>
      <c r="AA316">
        <v>0.93</v>
      </c>
      <c r="AB316">
        <v>3</v>
      </c>
      <c r="AC316">
        <v>0.93</v>
      </c>
      <c r="AD316">
        <v>0.93</v>
      </c>
      <c r="AE316">
        <v>1.1000000000000001</v>
      </c>
      <c r="AF316">
        <v>0.5</v>
      </c>
      <c r="AG316" t="str">
        <f t="shared" si="289"/>
        <v>205</v>
      </c>
      <c r="AH316" t="str">
        <f t="shared" si="290"/>
        <v>（株）ムロコーポレーション</v>
      </c>
      <c r="AI316" t="str">
        <f>"163"</f>
        <v>163</v>
      </c>
      <c r="AJ316" t="str">
        <f>"S-SM-2-6"</f>
        <v>S-SM-2-6</v>
      </c>
      <c r="AK316" t="str">
        <f>"10208"</f>
        <v>10208</v>
      </c>
      <c r="AL316" t="str">
        <f t="shared" si="313"/>
        <v>0370</v>
      </c>
      <c r="AM316" t="str">
        <f t="shared" si="314"/>
        <v>ｼﾑ</v>
      </c>
      <c r="AN316" t="str">
        <f t="shared" si="291"/>
        <v>012</v>
      </c>
      <c r="AO316" t="str">
        <f t="shared" si="292"/>
        <v>TP-131 ﾊﾝﾖｳ</v>
      </c>
      <c r="AP316">
        <v>100</v>
      </c>
      <c r="AQ316" t="str">
        <f>""</f>
        <v/>
      </c>
      <c r="AR316" t="str">
        <f>""</f>
        <v/>
      </c>
      <c r="AS316" t="str">
        <f>""</f>
        <v/>
      </c>
      <c r="AT316" t="str">
        <f t="shared" si="293"/>
        <v>00</v>
      </c>
      <c r="AU316">
        <v>0.5</v>
      </c>
      <c r="AV316" t="str">
        <f>""</f>
        <v/>
      </c>
      <c r="AW316" t="str">
        <f t="shared" si="315"/>
        <v>06</v>
      </c>
      <c r="AX316" t="str">
        <f t="shared" si="316"/>
        <v>計画</v>
      </c>
      <c r="AY316" t="str">
        <f t="shared" si="317"/>
        <v>02</v>
      </c>
      <c r="AZ316" t="str">
        <f t="shared" si="318"/>
        <v>計画・２社</v>
      </c>
      <c r="BA316" t="str">
        <f>""</f>
        <v/>
      </c>
      <c r="BB316" t="str">
        <f t="shared" si="294"/>
        <v>ＴＰ１３１フタナシ</v>
      </c>
      <c r="BC316" t="str">
        <f t="shared" si="295"/>
        <v xml:space="preserve"> 335.000</v>
      </c>
      <c r="BD316" t="str">
        <f t="shared" si="296"/>
        <v xml:space="preserve"> 168.000</v>
      </c>
      <c r="BE316" t="str">
        <f t="shared" si="297"/>
        <v xml:space="preserve"> 103.000</v>
      </c>
      <c r="BF316" t="str">
        <f t="shared" si="298"/>
        <v xml:space="preserve">   0.006</v>
      </c>
      <c r="BG316" t="str">
        <f t="shared" si="323"/>
        <v xml:space="preserve">   6.500</v>
      </c>
      <c r="BH316" t="str">
        <f t="shared" si="324"/>
        <v>しない</v>
      </c>
      <c r="BI316" t="str">
        <f>""</f>
        <v/>
      </c>
      <c r="BJ316" t="str">
        <f t="shared" si="321"/>
        <v>MASTER01</v>
      </c>
      <c r="BK316" t="str">
        <f t="shared" si="286"/>
        <v>2022/04/19</v>
      </c>
      <c r="BL316" t="str">
        <f t="shared" si="309"/>
        <v>NE00</v>
      </c>
      <c r="BM316" t="str">
        <f t="shared" si="310"/>
        <v>１工工務Ｇ</v>
      </c>
      <c r="BN316" t="str">
        <f t="shared" si="319"/>
        <v>46548</v>
      </c>
      <c r="BO316" t="str">
        <f t="shared" si="320"/>
        <v>長畑　玲奈</v>
      </c>
    </row>
    <row r="317" spans="1:67">
      <c r="A317" t="s">
        <v>399</v>
      </c>
      <c r="B317" t="str">
        <f>""</f>
        <v/>
      </c>
      <c r="C317" t="str">
        <f>""</f>
        <v/>
      </c>
      <c r="D317" t="str">
        <f t="shared" si="312"/>
        <v>SHIM</v>
      </c>
      <c r="E317" t="str">
        <f t="shared" si="299"/>
        <v>1Y</v>
      </c>
      <c r="F317" t="str">
        <f t="shared" si="300"/>
        <v>第１工場</v>
      </c>
      <c r="G317" t="str">
        <f t="shared" si="301"/>
        <v>手配</v>
      </c>
      <c r="H317" t="str">
        <f t="shared" si="302"/>
        <v>Ｐ</v>
      </c>
      <c r="I317" t="str">
        <f t="shared" si="287"/>
        <v>6454</v>
      </c>
      <c r="J317" t="str">
        <f t="shared" si="288"/>
        <v>（株）ムロコーポレーション</v>
      </c>
      <c r="K317" t="str">
        <f t="shared" si="326"/>
        <v>01</v>
      </c>
      <c r="L317" t="str">
        <f>""</f>
        <v/>
      </c>
      <c r="M317" t="str">
        <f t="shared" si="325"/>
        <v>――</v>
      </c>
      <c r="N317" t="str">
        <f t="shared" si="325"/>
        <v>――</v>
      </c>
      <c r="O317" t="str">
        <f t="shared" si="303"/>
        <v>Ｍ</v>
      </c>
      <c r="P317" t="str">
        <f t="shared" si="304"/>
        <v>01</v>
      </c>
      <c r="Q317" t="str">
        <f t="shared" si="305"/>
        <v>第１</v>
      </c>
      <c r="R317" t="str">
        <f t="shared" si="306"/>
        <v>1Y</v>
      </c>
      <c r="S317" t="str">
        <f t="shared" si="307"/>
        <v>安城第１工場</v>
      </c>
      <c r="T317" t="str">
        <f t="shared" si="308"/>
        <v>直接</v>
      </c>
      <c r="U317" t="str">
        <f>""</f>
        <v/>
      </c>
      <c r="V317" t="str">
        <f>""</f>
        <v/>
      </c>
      <c r="W317" t="str">
        <f>""</f>
        <v/>
      </c>
      <c r="X317">
        <v>1</v>
      </c>
      <c r="Y317">
        <v>1</v>
      </c>
      <c r="Z317">
        <v>0.73</v>
      </c>
      <c r="AA317">
        <v>0.93</v>
      </c>
      <c r="AB317">
        <v>3</v>
      </c>
      <c r="AC317">
        <v>0.93</v>
      </c>
      <c r="AD317">
        <v>0.93</v>
      </c>
      <c r="AE317">
        <v>1.1000000000000001</v>
      </c>
      <c r="AF317">
        <v>0.5</v>
      </c>
      <c r="AG317" t="str">
        <f t="shared" si="289"/>
        <v>205</v>
      </c>
      <c r="AH317" t="str">
        <f t="shared" si="290"/>
        <v>（株）ムロコーポレーション</v>
      </c>
      <c r="AI317" t="str">
        <f>"164"</f>
        <v>164</v>
      </c>
      <c r="AJ317" t="str">
        <f>"S-SM-2-7"</f>
        <v>S-SM-2-7</v>
      </c>
      <c r="AK317" t="str">
        <f>"10209"</f>
        <v>10209</v>
      </c>
      <c r="AL317" t="str">
        <f t="shared" si="313"/>
        <v>0370</v>
      </c>
      <c r="AM317" t="str">
        <f t="shared" si="314"/>
        <v>ｼﾑ</v>
      </c>
      <c r="AN317" t="str">
        <f t="shared" si="291"/>
        <v>012</v>
      </c>
      <c r="AO317" t="str">
        <f t="shared" si="292"/>
        <v>TP-131 ﾊﾝﾖｳ</v>
      </c>
      <c r="AP317">
        <v>100</v>
      </c>
      <c r="AQ317" t="str">
        <f>""</f>
        <v/>
      </c>
      <c r="AR317" t="str">
        <f>""</f>
        <v/>
      </c>
      <c r="AS317" t="str">
        <f>""</f>
        <v/>
      </c>
      <c r="AT317" t="str">
        <f t="shared" si="293"/>
        <v>00</v>
      </c>
      <c r="AU317">
        <v>0.5</v>
      </c>
      <c r="AV317" t="str">
        <f>""</f>
        <v/>
      </c>
      <c r="AW317" t="str">
        <f t="shared" si="315"/>
        <v>06</v>
      </c>
      <c r="AX317" t="str">
        <f t="shared" si="316"/>
        <v>計画</v>
      </c>
      <c r="AY317" t="str">
        <f t="shared" si="317"/>
        <v>02</v>
      </c>
      <c r="AZ317" t="str">
        <f t="shared" si="318"/>
        <v>計画・２社</v>
      </c>
      <c r="BA317" t="str">
        <f>""</f>
        <v/>
      </c>
      <c r="BB317" t="str">
        <f t="shared" si="294"/>
        <v>ＴＰ１３１フタナシ</v>
      </c>
      <c r="BC317" t="str">
        <f t="shared" si="295"/>
        <v xml:space="preserve"> 335.000</v>
      </c>
      <c r="BD317" t="str">
        <f t="shared" si="296"/>
        <v xml:space="preserve"> 168.000</v>
      </c>
      <c r="BE317" t="str">
        <f t="shared" si="297"/>
        <v xml:space="preserve"> 103.000</v>
      </c>
      <c r="BF317" t="str">
        <f t="shared" si="298"/>
        <v xml:space="preserve">   0.006</v>
      </c>
      <c r="BG317" t="str">
        <f t="shared" si="323"/>
        <v xml:space="preserve">   6.500</v>
      </c>
      <c r="BH317" t="str">
        <f t="shared" si="324"/>
        <v>しない</v>
      </c>
      <c r="BI317" t="str">
        <f>""</f>
        <v/>
      </c>
      <c r="BJ317" t="str">
        <f t="shared" si="321"/>
        <v>MASTER01</v>
      </c>
      <c r="BK317" t="str">
        <f t="shared" si="286"/>
        <v>2022/04/19</v>
      </c>
      <c r="BL317" t="str">
        <f t="shared" si="309"/>
        <v>NE00</v>
      </c>
      <c r="BM317" t="str">
        <f t="shared" si="310"/>
        <v>１工工務Ｇ</v>
      </c>
      <c r="BN317" t="str">
        <f t="shared" si="319"/>
        <v>46548</v>
      </c>
      <c r="BO317" t="str">
        <f t="shared" si="320"/>
        <v>長畑　玲奈</v>
      </c>
    </row>
    <row r="318" spans="1:67">
      <c r="A318" t="s">
        <v>400</v>
      </c>
      <c r="B318" t="str">
        <f>""</f>
        <v/>
      </c>
      <c r="C318" t="str">
        <f>""</f>
        <v/>
      </c>
      <c r="D318" t="str">
        <f t="shared" si="312"/>
        <v>SHIM</v>
      </c>
      <c r="E318" t="str">
        <f t="shared" si="299"/>
        <v>1Y</v>
      </c>
      <c r="F318" t="str">
        <f t="shared" si="300"/>
        <v>第１工場</v>
      </c>
      <c r="G318" t="str">
        <f t="shared" si="301"/>
        <v>手配</v>
      </c>
      <c r="H318" t="str">
        <f t="shared" si="302"/>
        <v>Ｐ</v>
      </c>
      <c r="I318" t="str">
        <f t="shared" si="287"/>
        <v>6454</v>
      </c>
      <c r="J318" t="str">
        <f t="shared" si="288"/>
        <v>（株）ムロコーポレーション</v>
      </c>
      <c r="K318" t="str">
        <f t="shared" si="326"/>
        <v>01</v>
      </c>
      <c r="L318" t="str">
        <f>""</f>
        <v/>
      </c>
      <c r="M318" t="str">
        <f t="shared" si="325"/>
        <v>――</v>
      </c>
      <c r="N318" t="str">
        <f t="shared" si="325"/>
        <v>――</v>
      </c>
      <c r="O318" t="str">
        <f t="shared" si="303"/>
        <v>Ｍ</v>
      </c>
      <c r="P318" t="str">
        <f t="shared" si="304"/>
        <v>01</v>
      </c>
      <c r="Q318" t="str">
        <f t="shared" si="305"/>
        <v>第１</v>
      </c>
      <c r="R318" t="str">
        <f t="shared" si="306"/>
        <v>1Y</v>
      </c>
      <c r="S318" t="str">
        <f t="shared" si="307"/>
        <v>安城第１工場</v>
      </c>
      <c r="T318" t="str">
        <f t="shared" si="308"/>
        <v>直接</v>
      </c>
      <c r="U318" t="str">
        <f>""</f>
        <v/>
      </c>
      <c r="V318" t="str">
        <f>""</f>
        <v/>
      </c>
      <c r="W318" t="str">
        <f>""</f>
        <v/>
      </c>
      <c r="X318">
        <v>1</v>
      </c>
      <c r="Y318">
        <v>1</v>
      </c>
      <c r="Z318">
        <v>0.73</v>
      </c>
      <c r="AA318">
        <v>0.93</v>
      </c>
      <c r="AB318">
        <v>3</v>
      </c>
      <c r="AC318">
        <v>0.93</v>
      </c>
      <c r="AD318">
        <v>0.93</v>
      </c>
      <c r="AE318">
        <v>1.1000000000000001</v>
      </c>
      <c r="AF318">
        <v>0.5</v>
      </c>
      <c r="AG318" t="str">
        <f t="shared" si="289"/>
        <v>205</v>
      </c>
      <c r="AH318" t="str">
        <f t="shared" si="290"/>
        <v>（株）ムロコーポレーション</v>
      </c>
      <c r="AI318" t="str">
        <f>"165"</f>
        <v>165</v>
      </c>
      <c r="AJ318" t="str">
        <f>"S-SM-2-8"</f>
        <v>S-SM-2-8</v>
      </c>
      <c r="AK318" t="str">
        <f>"10210"</f>
        <v>10210</v>
      </c>
      <c r="AL318" t="str">
        <f t="shared" si="313"/>
        <v>0370</v>
      </c>
      <c r="AM318" t="str">
        <f t="shared" si="314"/>
        <v>ｼﾑ</v>
      </c>
      <c r="AN318" t="str">
        <f t="shared" si="291"/>
        <v>012</v>
      </c>
      <c r="AO318" t="str">
        <f t="shared" si="292"/>
        <v>TP-131 ﾊﾝﾖｳ</v>
      </c>
      <c r="AP318">
        <v>100</v>
      </c>
      <c r="AQ318" t="str">
        <f>""</f>
        <v/>
      </c>
      <c r="AR318" t="str">
        <f>""</f>
        <v/>
      </c>
      <c r="AS318" t="str">
        <f>""</f>
        <v/>
      </c>
      <c r="AT318" t="str">
        <f t="shared" si="293"/>
        <v>00</v>
      </c>
      <c r="AU318">
        <v>0.5</v>
      </c>
      <c r="AV318" t="str">
        <f>""</f>
        <v/>
      </c>
      <c r="AW318" t="str">
        <f t="shared" si="315"/>
        <v>06</v>
      </c>
      <c r="AX318" t="str">
        <f t="shared" si="316"/>
        <v>計画</v>
      </c>
      <c r="AY318" t="str">
        <f t="shared" si="317"/>
        <v>02</v>
      </c>
      <c r="AZ318" t="str">
        <f t="shared" si="318"/>
        <v>計画・２社</v>
      </c>
      <c r="BA318" t="str">
        <f>""</f>
        <v/>
      </c>
      <c r="BB318" t="str">
        <f t="shared" si="294"/>
        <v>ＴＰ１３１フタナシ</v>
      </c>
      <c r="BC318" t="str">
        <f t="shared" si="295"/>
        <v xml:space="preserve"> 335.000</v>
      </c>
      <c r="BD318" t="str">
        <f t="shared" si="296"/>
        <v xml:space="preserve"> 168.000</v>
      </c>
      <c r="BE318" t="str">
        <f t="shared" si="297"/>
        <v xml:space="preserve"> 103.000</v>
      </c>
      <c r="BF318" t="str">
        <f t="shared" si="298"/>
        <v xml:space="preserve">   0.006</v>
      </c>
      <c r="BG318" t="str">
        <f t="shared" si="323"/>
        <v xml:space="preserve">   6.500</v>
      </c>
      <c r="BH318" t="str">
        <f t="shared" si="324"/>
        <v>しない</v>
      </c>
      <c r="BI318" t="str">
        <f>""</f>
        <v/>
      </c>
      <c r="BJ318" t="str">
        <f t="shared" si="321"/>
        <v>MASTER01</v>
      </c>
      <c r="BK318" t="str">
        <f t="shared" si="286"/>
        <v>2022/04/19</v>
      </c>
      <c r="BL318" t="str">
        <f t="shared" si="309"/>
        <v>NE00</v>
      </c>
      <c r="BM318" t="str">
        <f t="shared" si="310"/>
        <v>１工工務Ｇ</v>
      </c>
      <c r="BN318" t="str">
        <f t="shared" si="319"/>
        <v>46548</v>
      </c>
      <c r="BO318" t="str">
        <f t="shared" si="320"/>
        <v>長畑　玲奈</v>
      </c>
    </row>
    <row r="319" spans="1:67">
      <c r="A319" t="s">
        <v>401</v>
      </c>
      <c r="B319" t="str">
        <f>""</f>
        <v/>
      </c>
      <c r="C319" t="str">
        <f>""</f>
        <v/>
      </c>
      <c r="D319" t="str">
        <f t="shared" si="312"/>
        <v>SHIM</v>
      </c>
      <c r="E319" t="str">
        <f t="shared" si="299"/>
        <v>1Y</v>
      </c>
      <c r="F319" t="str">
        <f t="shared" si="300"/>
        <v>第１工場</v>
      </c>
      <c r="G319" t="str">
        <f t="shared" si="301"/>
        <v>手配</v>
      </c>
      <c r="H319" t="str">
        <f t="shared" si="302"/>
        <v>Ｐ</v>
      </c>
      <c r="I319" t="str">
        <f t="shared" si="287"/>
        <v>6454</v>
      </c>
      <c r="J319" t="str">
        <f t="shared" si="288"/>
        <v>（株）ムロコーポレーション</v>
      </c>
      <c r="K319" t="str">
        <f t="shared" si="326"/>
        <v>01</v>
      </c>
      <c r="L319" t="str">
        <f>""</f>
        <v/>
      </c>
      <c r="M319" t="str">
        <f t="shared" si="325"/>
        <v>――</v>
      </c>
      <c r="N319" t="str">
        <f t="shared" si="325"/>
        <v>――</v>
      </c>
      <c r="O319" t="str">
        <f t="shared" si="303"/>
        <v>Ｍ</v>
      </c>
      <c r="P319" t="str">
        <f t="shared" si="304"/>
        <v>01</v>
      </c>
      <c r="Q319" t="str">
        <f t="shared" si="305"/>
        <v>第１</v>
      </c>
      <c r="R319" t="str">
        <f t="shared" si="306"/>
        <v>1Y</v>
      </c>
      <c r="S319" t="str">
        <f t="shared" si="307"/>
        <v>安城第１工場</v>
      </c>
      <c r="T319" t="str">
        <f t="shared" si="308"/>
        <v>直接</v>
      </c>
      <c r="U319" t="str">
        <f>""</f>
        <v/>
      </c>
      <c r="V319" t="str">
        <f>""</f>
        <v/>
      </c>
      <c r="W319" t="str">
        <f>""</f>
        <v/>
      </c>
      <c r="X319">
        <v>1</v>
      </c>
      <c r="Y319">
        <v>1</v>
      </c>
      <c r="Z319">
        <v>0.73</v>
      </c>
      <c r="AA319">
        <v>0.93</v>
      </c>
      <c r="AB319">
        <v>3</v>
      </c>
      <c r="AC319">
        <v>0.93</v>
      </c>
      <c r="AD319">
        <v>0.93</v>
      </c>
      <c r="AE319">
        <v>1.1000000000000001</v>
      </c>
      <c r="AF319">
        <v>0.5</v>
      </c>
      <c r="AG319" t="str">
        <f t="shared" si="289"/>
        <v>205</v>
      </c>
      <c r="AH319" t="str">
        <f t="shared" si="290"/>
        <v>（株）ムロコーポレーション</v>
      </c>
      <c r="AI319" t="str">
        <f>"166"</f>
        <v>166</v>
      </c>
      <c r="AJ319" t="str">
        <f>"S-SM-2-9"</f>
        <v>S-SM-2-9</v>
      </c>
      <c r="AK319" t="str">
        <f>"10211"</f>
        <v>10211</v>
      </c>
      <c r="AL319" t="str">
        <f t="shared" si="313"/>
        <v>0370</v>
      </c>
      <c r="AM319" t="str">
        <f t="shared" si="314"/>
        <v>ｼﾑ</v>
      </c>
      <c r="AN319" t="str">
        <f t="shared" si="291"/>
        <v>012</v>
      </c>
      <c r="AO319" t="str">
        <f t="shared" si="292"/>
        <v>TP-131 ﾊﾝﾖｳ</v>
      </c>
      <c r="AP319">
        <v>100</v>
      </c>
      <c r="AQ319" t="str">
        <f>""</f>
        <v/>
      </c>
      <c r="AR319" t="str">
        <f>""</f>
        <v/>
      </c>
      <c r="AS319" t="str">
        <f>""</f>
        <v/>
      </c>
      <c r="AT319" t="str">
        <f t="shared" si="293"/>
        <v>00</v>
      </c>
      <c r="AU319">
        <v>0.5</v>
      </c>
      <c r="AV319" t="str">
        <f>""</f>
        <v/>
      </c>
      <c r="AW319" t="str">
        <f t="shared" si="315"/>
        <v>06</v>
      </c>
      <c r="AX319" t="str">
        <f t="shared" si="316"/>
        <v>計画</v>
      </c>
      <c r="AY319" t="str">
        <f t="shared" si="317"/>
        <v>02</v>
      </c>
      <c r="AZ319" t="str">
        <f t="shared" si="318"/>
        <v>計画・２社</v>
      </c>
      <c r="BA319" t="str">
        <f>""</f>
        <v/>
      </c>
      <c r="BB319" t="str">
        <f t="shared" si="294"/>
        <v>ＴＰ１３１フタナシ</v>
      </c>
      <c r="BC319" t="str">
        <f t="shared" si="295"/>
        <v xml:space="preserve"> 335.000</v>
      </c>
      <c r="BD319" t="str">
        <f t="shared" si="296"/>
        <v xml:space="preserve"> 168.000</v>
      </c>
      <c r="BE319" t="str">
        <f t="shared" si="297"/>
        <v xml:space="preserve"> 103.000</v>
      </c>
      <c r="BF319" t="str">
        <f t="shared" si="298"/>
        <v xml:space="preserve">   0.006</v>
      </c>
      <c r="BG319" t="str">
        <f t="shared" si="323"/>
        <v xml:space="preserve">   6.500</v>
      </c>
      <c r="BH319" t="str">
        <f t="shared" si="324"/>
        <v>しない</v>
      </c>
      <c r="BI319" t="str">
        <f>""</f>
        <v/>
      </c>
      <c r="BJ319" t="str">
        <f t="shared" si="321"/>
        <v>MASTER01</v>
      </c>
      <c r="BK319" t="str">
        <f t="shared" ref="BK319:BK359" si="327">"2022/04/19"</f>
        <v>2022/04/19</v>
      </c>
      <c r="BL319" t="str">
        <f t="shared" si="309"/>
        <v>NE00</v>
      </c>
      <c r="BM319" t="str">
        <f t="shared" si="310"/>
        <v>１工工務Ｇ</v>
      </c>
      <c r="BN319" t="str">
        <f t="shared" si="319"/>
        <v>46548</v>
      </c>
      <c r="BO319" t="str">
        <f t="shared" si="320"/>
        <v>長畑　玲奈</v>
      </c>
    </row>
    <row r="320" spans="1:67">
      <c r="A320" t="s">
        <v>402</v>
      </c>
      <c r="B320" t="str">
        <f>""</f>
        <v/>
      </c>
      <c r="C320" t="str">
        <f>""</f>
        <v/>
      </c>
      <c r="D320" t="str">
        <f t="shared" si="312"/>
        <v>SHIM</v>
      </c>
      <c r="E320" t="str">
        <f t="shared" si="299"/>
        <v>1Y</v>
      </c>
      <c r="F320" t="str">
        <f t="shared" si="300"/>
        <v>第１工場</v>
      </c>
      <c r="G320" t="str">
        <f t="shared" si="301"/>
        <v>手配</v>
      </c>
      <c r="H320" t="str">
        <f t="shared" si="302"/>
        <v>Ｐ</v>
      </c>
      <c r="I320" t="str">
        <f t="shared" si="287"/>
        <v>6454</v>
      </c>
      <c r="J320" t="str">
        <f t="shared" si="288"/>
        <v>（株）ムロコーポレーション</v>
      </c>
      <c r="K320" t="str">
        <f t="shared" si="326"/>
        <v>01</v>
      </c>
      <c r="L320" t="str">
        <f>""</f>
        <v/>
      </c>
      <c r="M320" t="str">
        <f t="shared" si="325"/>
        <v>――</v>
      </c>
      <c r="N320" t="str">
        <f t="shared" si="325"/>
        <v>――</v>
      </c>
      <c r="O320" t="str">
        <f t="shared" si="303"/>
        <v>Ｍ</v>
      </c>
      <c r="P320" t="str">
        <f t="shared" si="304"/>
        <v>01</v>
      </c>
      <c r="Q320" t="str">
        <f t="shared" si="305"/>
        <v>第１</v>
      </c>
      <c r="R320" t="str">
        <f t="shared" si="306"/>
        <v>1Y</v>
      </c>
      <c r="S320" t="str">
        <f t="shared" si="307"/>
        <v>安城第１工場</v>
      </c>
      <c r="T320" t="str">
        <f t="shared" si="308"/>
        <v>直接</v>
      </c>
      <c r="U320" t="str">
        <f>""</f>
        <v/>
      </c>
      <c r="V320" t="str">
        <f>""</f>
        <v/>
      </c>
      <c r="W320" t="str">
        <f>""</f>
        <v/>
      </c>
      <c r="X320">
        <v>1</v>
      </c>
      <c r="Y320">
        <v>1</v>
      </c>
      <c r="Z320">
        <v>0.73</v>
      </c>
      <c r="AA320">
        <v>0.93</v>
      </c>
      <c r="AB320">
        <v>3</v>
      </c>
      <c r="AC320">
        <v>0.93</v>
      </c>
      <c r="AD320">
        <v>0.93</v>
      </c>
      <c r="AE320">
        <v>1.1000000000000001</v>
      </c>
      <c r="AF320">
        <v>0.5</v>
      </c>
      <c r="AG320" t="str">
        <f t="shared" si="289"/>
        <v>205</v>
      </c>
      <c r="AH320" t="str">
        <f t="shared" si="290"/>
        <v>（株）ムロコーポレーション</v>
      </c>
      <c r="AI320" t="str">
        <f>"167"</f>
        <v>167</v>
      </c>
      <c r="AJ320" t="str">
        <f>"S-SM-2-10"</f>
        <v>S-SM-2-10</v>
      </c>
      <c r="AK320" t="str">
        <f>"10212"</f>
        <v>10212</v>
      </c>
      <c r="AL320" t="str">
        <f t="shared" si="313"/>
        <v>0370</v>
      </c>
      <c r="AM320" t="str">
        <f t="shared" si="314"/>
        <v>ｼﾑ</v>
      </c>
      <c r="AN320" t="str">
        <f t="shared" si="291"/>
        <v>012</v>
      </c>
      <c r="AO320" t="str">
        <f t="shared" si="292"/>
        <v>TP-131 ﾊﾝﾖｳ</v>
      </c>
      <c r="AP320">
        <v>100</v>
      </c>
      <c r="AQ320" t="str">
        <f>""</f>
        <v/>
      </c>
      <c r="AR320" t="str">
        <f>""</f>
        <v/>
      </c>
      <c r="AS320" t="str">
        <f>""</f>
        <v/>
      </c>
      <c r="AT320" t="str">
        <f t="shared" si="293"/>
        <v>00</v>
      </c>
      <c r="AU320">
        <v>0.5</v>
      </c>
      <c r="AV320" t="str">
        <f>""</f>
        <v/>
      </c>
      <c r="AW320" t="str">
        <f t="shared" si="315"/>
        <v>06</v>
      </c>
      <c r="AX320" t="str">
        <f t="shared" si="316"/>
        <v>計画</v>
      </c>
      <c r="AY320" t="str">
        <f t="shared" si="317"/>
        <v>02</v>
      </c>
      <c r="AZ320" t="str">
        <f t="shared" si="318"/>
        <v>計画・２社</v>
      </c>
      <c r="BA320" t="str">
        <f>""</f>
        <v/>
      </c>
      <c r="BB320" t="str">
        <f t="shared" si="294"/>
        <v>ＴＰ１３１フタナシ</v>
      </c>
      <c r="BC320" t="str">
        <f t="shared" si="295"/>
        <v xml:space="preserve"> 335.000</v>
      </c>
      <c r="BD320" t="str">
        <f t="shared" si="296"/>
        <v xml:space="preserve"> 168.000</v>
      </c>
      <c r="BE320" t="str">
        <f t="shared" si="297"/>
        <v xml:space="preserve"> 103.000</v>
      </c>
      <c r="BF320" t="str">
        <f t="shared" si="298"/>
        <v xml:space="preserve">   0.006</v>
      </c>
      <c r="BG320" t="str">
        <f t="shared" si="323"/>
        <v xml:space="preserve">   6.500</v>
      </c>
      <c r="BH320" t="str">
        <f t="shared" si="324"/>
        <v>しない</v>
      </c>
      <c r="BI320" t="str">
        <f>""</f>
        <v/>
      </c>
      <c r="BJ320" t="str">
        <f t="shared" si="321"/>
        <v>MASTER01</v>
      </c>
      <c r="BK320" t="str">
        <f t="shared" si="327"/>
        <v>2022/04/19</v>
      </c>
      <c r="BL320" t="str">
        <f t="shared" si="309"/>
        <v>NE00</v>
      </c>
      <c r="BM320" t="str">
        <f t="shared" si="310"/>
        <v>１工工務Ｇ</v>
      </c>
      <c r="BN320" t="str">
        <f t="shared" si="319"/>
        <v>46548</v>
      </c>
      <c r="BO320" t="str">
        <f t="shared" si="320"/>
        <v>長畑　玲奈</v>
      </c>
    </row>
    <row r="321" spans="1:67">
      <c r="A321" t="s">
        <v>403</v>
      </c>
      <c r="B321" t="str">
        <f>""</f>
        <v/>
      </c>
      <c r="C321" t="str">
        <f>""</f>
        <v/>
      </c>
      <c r="D321" t="str">
        <f t="shared" si="312"/>
        <v>SHIM</v>
      </c>
      <c r="E321" t="str">
        <f t="shared" si="299"/>
        <v>1Y</v>
      </c>
      <c r="F321" t="str">
        <f t="shared" si="300"/>
        <v>第１工場</v>
      </c>
      <c r="G321" t="str">
        <f t="shared" si="301"/>
        <v>手配</v>
      </c>
      <c r="H321" t="str">
        <f t="shared" si="302"/>
        <v>Ｐ</v>
      </c>
      <c r="I321" t="str">
        <f t="shared" ref="I321:I384" si="328">"6454"</f>
        <v>6454</v>
      </c>
      <c r="J321" t="str">
        <f t="shared" ref="J321:J384" si="329">"（株）ムロコーポレーション"</f>
        <v>（株）ムロコーポレーション</v>
      </c>
      <c r="K321" t="str">
        <f t="shared" si="326"/>
        <v>01</v>
      </c>
      <c r="L321" t="str">
        <f>""</f>
        <v/>
      </c>
      <c r="M321" t="str">
        <f t="shared" si="325"/>
        <v>――</v>
      </c>
      <c r="N321" t="str">
        <f t="shared" si="325"/>
        <v>――</v>
      </c>
      <c r="O321" t="str">
        <f t="shared" si="303"/>
        <v>Ｍ</v>
      </c>
      <c r="P321" t="str">
        <f t="shared" si="304"/>
        <v>01</v>
      </c>
      <c r="Q321" t="str">
        <f t="shared" si="305"/>
        <v>第１</v>
      </c>
      <c r="R321" t="str">
        <f t="shared" si="306"/>
        <v>1Y</v>
      </c>
      <c r="S321" t="str">
        <f t="shared" si="307"/>
        <v>安城第１工場</v>
      </c>
      <c r="T321" t="str">
        <f t="shared" si="308"/>
        <v>直接</v>
      </c>
      <c r="U321" t="str">
        <f>""</f>
        <v/>
      </c>
      <c r="V321" t="str">
        <f>""</f>
        <v/>
      </c>
      <c r="W321" t="str">
        <f>""</f>
        <v/>
      </c>
      <c r="X321">
        <v>1</v>
      </c>
      <c r="Y321">
        <v>1</v>
      </c>
      <c r="Z321">
        <v>0.73</v>
      </c>
      <c r="AA321">
        <v>0.93</v>
      </c>
      <c r="AB321">
        <v>3</v>
      </c>
      <c r="AC321">
        <v>0.93</v>
      </c>
      <c r="AD321">
        <v>0.93</v>
      </c>
      <c r="AE321">
        <v>1.1000000000000001</v>
      </c>
      <c r="AF321">
        <v>0.5</v>
      </c>
      <c r="AG321" t="str">
        <f t="shared" ref="AG321:AG384" si="330">"205"</f>
        <v>205</v>
      </c>
      <c r="AH321" t="str">
        <f t="shared" ref="AH321:AH384" si="331">"（株）ムロコーポレーション"</f>
        <v>（株）ムロコーポレーション</v>
      </c>
      <c r="AI321" t="str">
        <f>"168"</f>
        <v>168</v>
      </c>
      <c r="AJ321" t="str">
        <f>"S-SM-2-11"</f>
        <v>S-SM-2-11</v>
      </c>
      <c r="AK321" t="str">
        <f>"10213"</f>
        <v>10213</v>
      </c>
      <c r="AL321" t="str">
        <f t="shared" si="313"/>
        <v>0370</v>
      </c>
      <c r="AM321" t="str">
        <f t="shared" si="314"/>
        <v>ｼﾑ</v>
      </c>
      <c r="AN321" t="str">
        <f t="shared" ref="AN321:AN384" si="332">"012"</f>
        <v>012</v>
      </c>
      <c r="AO321" t="str">
        <f t="shared" ref="AO321:AO384" si="333">"TP-131 ﾊﾝﾖｳ"</f>
        <v>TP-131 ﾊﾝﾖｳ</v>
      </c>
      <c r="AP321">
        <v>100</v>
      </c>
      <c r="AQ321" t="str">
        <f>""</f>
        <v/>
      </c>
      <c r="AR321" t="str">
        <f>""</f>
        <v/>
      </c>
      <c r="AS321" t="str">
        <f>""</f>
        <v/>
      </c>
      <c r="AT321" t="str">
        <f t="shared" ref="AT321:AT384" si="334">"00"</f>
        <v>00</v>
      </c>
      <c r="AU321">
        <v>0.5</v>
      </c>
      <c r="AV321" t="str">
        <f>""</f>
        <v/>
      </c>
      <c r="AW321" t="str">
        <f t="shared" si="315"/>
        <v>06</v>
      </c>
      <c r="AX321" t="str">
        <f t="shared" si="316"/>
        <v>計画</v>
      </c>
      <c r="AY321" t="str">
        <f t="shared" si="317"/>
        <v>02</v>
      </c>
      <c r="AZ321" t="str">
        <f t="shared" si="318"/>
        <v>計画・２社</v>
      </c>
      <c r="BA321" t="str">
        <f>""</f>
        <v/>
      </c>
      <c r="BB321" t="str">
        <f t="shared" ref="BB321:BB384" si="335">"ＴＰ１３１フタナシ"</f>
        <v>ＴＰ１３１フタナシ</v>
      </c>
      <c r="BC321" t="str">
        <f t="shared" ref="BC321:BC384" si="336">" 335.000"</f>
        <v xml:space="preserve"> 335.000</v>
      </c>
      <c r="BD321" t="str">
        <f t="shared" ref="BD321:BD384" si="337">" 168.000"</f>
        <v xml:space="preserve"> 168.000</v>
      </c>
      <c r="BE321" t="str">
        <f t="shared" ref="BE321:BE384" si="338">" 103.000"</f>
        <v xml:space="preserve"> 103.000</v>
      </c>
      <c r="BF321" t="str">
        <f t="shared" ref="BF321:BF384" si="339">"   0.006"</f>
        <v xml:space="preserve">   0.006</v>
      </c>
      <c r="BG321" t="str">
        <f t="shared" si="323"/>
        <v xml:space="preserve">   6.500</v>
      </c>
      <c r="BH321" t="str">
        <f t="shared" si="324"/>
        <v>しない</v>
      </c>
      <c r="BI321" t="str">
        <f>""</f>
        <v/>
      </c>
      <c r="BJ321" t="str">
        <f t="shared" si="321"/>
        <v>MASTER01</v>
      </c>
      <c r="BK321" t="str">
        <f t="shared" si="327"/>
        <v>2022/04/19</v>
      </c>
      <c r="BL321" t="str">
        <f t="shared" si="309"/>
        <v>NE00</v>
      </c>
      <c r="BM321" t="str">
        <f t="shared" si="310"/>
        <v>１工工務Ｇ</v>
      </c>
      <c r="BN321" t="str">
        <f t="shared" si="319"/>
        <v>46548</v>
      </c>
      <c r="BO321" t="str">
        <f t="shared" si="320"/>
        <v>長畑　玲奈</v>
      </c>
    </row>
    <row r="322" spans="1:67">
      <c r="A322" t="s">
        <v>404</v>
      </c>
      <c r="B322" t="str">
        <f>""</f>
        <v/>
      </c>
      <c r="C322" t="str">
        <f>""</f>
        <v/>
      </c>
      <c r="D322" t="str">
        <f t="shared" si="312"/>
        <v>SHIM</v>
      </c>
      <c r="E322" t="str">
        <f t="shared" ref="E322:E385" si="340">"1Y"</f>
        <v>1Y</v>
      </c>
      <c r="F322" t="str">
        <f t="shared" ref="F322:F385" si="341">"第１工場"</f>
        <v>第１工場</v>
      </c>
      <c r="G322" t="str">
        <f t="shared" ref="G322:G385" si="342">"手配"</f>
        <v>手配</v>
      </c>
      <c r="H322" t="str">
        <f t="shared" ref="H322:H385" si="343">"Ｐ"</f>
        <v>Ｐ</v>
      </c>
      <c r="I322" t="str">
        <f t="shared" si="328"/>
        <v>6454</v>
      </c>
      <c r="J322" t="str">
        <f t="shared" si="329"/>
        <v>（株）ムロコーポレーション</v>
      </c>
      <c r="K322" t="str">
        <f t="shared" si="326"/>
        <v>01</v>
      </c>
      <c r="L322" t="str">
        <f>""</f>
        <v/>
      </c>
      <c r="M322" t="str">
        <f t="shared" si="325"/>
        <v>――</v>
      </c>
      <c r="N322" t="str">
        <f t="shared" si="325"/>
        <v>――</v>
      </c>
      <c r="O322" t="str">
        <f t="shared" ref="O322:O385" si="344">"Ｍ"</f>
        <v>Ｍ</v>
      </c>
      <c r="P322" t="str">
        <f t="shared" ref="P322:P385" si="345">"01"</f>
        <v>01</v>
      </c>
      <c r="Q322" t="str">
        <f t="shared" ref="Q322:Q385" si="346">"第１"</f>
        <v>第１</v>
      </c>
      <c r="R322" t="str">
        <f t="shared" ref="R322:R385" si="347">"1Y"</f>
        <v>1Y</v>
      </c>
      <c r="S322" t="str">
        <f t="shared" ref="S322:S385" si="348">"安城第１工場"</f>
        <v>安城第１工場</v>
      </c>
      <c r="T322" t="str">
        <f t="shared" ref="T322:T385" si="349">"直接"</f>
        <v>直接</v>
      </c>
      <c r="U322" t="str">
        <f>""</f>
        <v/>
      </c>
      <c r="V322" t="str">
        <f>""</f>
        <v/>
      </c>
      <c r="W322" t="str">
        <f>""</f>
        <v/>
      </c>
      <c r="X322">
        <v>1</v>
      </c>
      <c r="Y322">
        <v>1</v>
      </c>
      <c r="Z322">
        <v>0.73</v>
      </c>
      <c r="AA322">
        <v>0.93</v>
      </c>
      <c r="AB322">
        <v>3</v>
      </c>
      <c r="AC322">
        <v>0.93</v>
      </c>
      <c r="AD322">
        <v>0.93</v>
      </c>
      <c r="AE322">
        <v>1.1000000000000001</v>
      </c>
      <c r="AF322">
        <v>0.5</v>
      </c>
      <c r="AG322" t="str">
        <f t="shared" si="330"/>
        <v>205</v>
      </c>
      <c r="AH322" t="str">
        <f t="shared" si="331"/>
        <v>（株）ムロコーポレーション</v>
      </c>
      <c r="AI322" t="str">
        <f>"169"</f>
        <v>169</v>
      </c>
      <c r="AJ322" t="str">
        <f>"S-SM-2-12"</f>
        <v>S-SM-2-12</v>
      </c>
      <c r="AK322" t="str">
        <f>"10214"</f>
        <v>10214</v>
      </c>
      <c r="AL322" t="str">
        <f t="shared" si="313"/>
        <v>0370</v>
      </c>
      <c r="AM322" t="str">
        <f t="shared" si="314"/>
        <v>ｼﾑ</v>
      </c>
      <c r="AN322" t="str">
        <f t="shared" si="332"/>
        <v>012</v>
      </c>
      <c r="AO322" t="str">
        <f t="shared" si="333"/>
        <v>TP-131 ﾊﾝﾖｳ</v>
      </c>
      <c r="AP322">
        <v>100</v>
      </c>
      <c r="AQ322" t="str">
        <f>""</f>
        <v/>
      </c>
      <c r="AR322" t="str">
        <f>""</f>
        <v/>
      </c>
      <c r="AS322" t="str">
        <f>""</f>
        <v/>
      </c>
      <c r="AT322" t="str">
        <f t="shared" si="334"/>
        <v>00</v>
      </c>
      <c r="AU322">
        <v>0.5</v>
      </c>
      <c r="AV322" t="str">
        <f>""</f>
        <v/>
      </c>
      <c r="AW322" t="str">
        <f t="shared" si="315"/>
        <v>06</v>
      </c>
      <c r="AX322" t="str">
        <f t="shared" si="316"/>
        <v>計画</v>
      </c>
      <c r="AY322" t="str">
        <f t="shared" si="317"/>
        <v>02</v>
      </c>
      <c r="AZ322" t="str">
        <f t="shared" si="318"/>
        <v>計画・２社</v>
      </c>
      <c r="BA322" t="str">
        <f>""</f>
        <v/>
      </c>
      <c r="BB322" t="str">
        <f t="shared" si="335"/>
        <v>ＴＰ１３１フタナシ</v>
      </c>
      <c r="BC322" t="str">
        <f t="shared" si="336"/>
        <v xml:space="preserve"> 335.000</v>
      </c>
      <c r="BD322" t="str">
        <f t="shared" si="337"/>
        <v xml:space="preserve"> 168.000</v>
      </c>
      <c r="BE322" t="str">
        <f t="shared" si="338"/>
        <v xml:space="preserve"> 103.000</v>
      </c>
      <c r="BF322" t="str">
        <f t="shared" si="339"/>
        <v xml:space="preserve">   0.006</v>
      </c>
      <c r="BG322" t="str">
        <f t="shared" si="323"/>
        <v xml:space="preserve">   6.500</v>
      </c>
      <c r="BH322" t="str">
        <f t="shared" si="324"/>
        <v>しない</v>
      </c>
      <c r="BI322" t="str">
        <f>""</f>
        <v/>
      </c>
      <c r="BJ322" t="str">
        <f t="shared" si="321"/>
        <v>MASTER01</v>
      </c>
      <c r="BK322" t="str">
        <f t="shared" si="327"/>
        <v>2022/04/19</v>
      </c>
      <c r="BL322" t="str">
        <f t="shared" ref="BL322:BL385" si="350">"NE00"</f>
        <v>NE00</v>
      </c>
      <c r="BM322" t="str">
        <f t="shared" ref="BM322:BM385" si="351">"１工工務Ｇ"</f>
        <v>１工工務Ｇ</v>
      </c>
      <c r="BN322" t="str">
        <f t="shared" si="319"/>
        <v>46548</v>
      </c>
      <c r="BO322" t="str">
        <f t="shared" si="320"/>
        <v>長畑　玲奈</v>
      </c>
    </row>
    <row r="323" spans="1:67">
      <c r="A323" t="s">
        <v>405</v>
      </c>
      <c r="B323" t="str">
        <f>""</f>
        <v/>
      </c>
      <c r="C323" t="str">
        <f>""</f>
        <v/>
      </c>
      <c r="D323" t="str">
        <f t="shared" si="312"/>
        <v>SHIM</v>
      </c>
      <c r="E323" t="str">
        <f t="shared" si="340"/>
        <v>1Y</v>
      </c>
      <c r="F323" t="str">
        <f t="shared" si="341"/>
        <v>第１工場</v>
      </c>
      <c r="G323" t="str">
        <f t="shared" si="342"/>
        <v>手配</v>
      </c>
      <c r="H323" t="str">
        <f t="shared" si="343"/>
        <v>Ｐ</v>
      </c>
      <c r="I323" t="str">
        <f t="shared" si="328"/>
        <v>6454</v>
      </c>
      <c r="J323" t="str">
        <f t="shared" si="329"/>
        <v>（株）ムロコーポレーション</v>
      </c>
      <c r="K323" t="str">
        <f t="shared" si="326"/>
        <v>01</v>
      </c>
      <c r="L323" t="str">
        <f>""</f>
        <v/>
      </c>
      <c r="M323" t="str">
        <f t="shared" si="325"/>
        <v>――</v>
      </c>
      <c r="N323" t="str">
        <f t="shared" si="325"/>
        <v>――</v>
      </c>
      <c r="O323" t="str">
        <f t="shared" si="344"/>
        <v>Ｍ</v>
      </c>
      <c r="P323" t="str">
        <f t="shared" si="345"/>
        <v>01</v>
      </c>
      <c r="Q323" t="str">
        <f t="shared" si="346"/>
        <v>第１</v>
      </c>
      <c r="R323" t="str">
        <f t="shared" si="347"/>
        <v>1Y</v>
      </c>
      <c r="S323" t="str">
        <f t="shared" si="348"/>
        <v>安城第１工場</v>
      </c>
      <c r="T323" t="str">
        <f t="shared" si="349"/>
        <v>直接</v>
      </c>
      <c r="U323" t="str">
        <f>""</f>
        <v/>
      </c>
      <c r="V323" t="str">
        <f>""</f>
        <v/>
      </c>
      <c r="W323" t="str">
        <f>""</f>
        <v/>
      </c>
      <c r="X323">
        <v>1</v>
      </c>
      <c r="Y323">
        <v>1</v>
      </c>
      <c r="Z323">
        <v>0.73</v>
      </c>
      <c r="AA323">
        <v>0.93</v>
      </c>
      <c r="AB323">
        <v>3</v>
      </c>
      <c r="AC323">
        <v>0.93</v>
      </c>
      <c r="AD323">
        <v>0.93</v>
      </c>
      <c r="AE323">
        <v>1.1000000000000001</v>
      </c>
      <c r="AF323">
        <v>0.5</v>
      </c>
      <c r="AG323" t="str">
        <f t="shared" si="330"/>
        <v>205</v>
      </c>
      <c r="AH323" t="str">
        <f t="shared" si="331"/>
        <v>（株）ムロコーポレーション</v>
      </c>
      <c r="AI323" t="str">
        <f>"170"</f>
        <v>170</v>
      </c>
      <c r="AJ323" t="str">
        <f>"S-SM-2-13"</f>
        <v>S-SM-2-13</v>
      </c>
      <c r="AK323" t="str">
        <f>"10215"</f>
        <v>10215</v>
      </c>
      <c r="AL323" t="str">
        <f t="shared" si="313"/>
        <v>0370</v>
      </c>
      <c r="AM323" t="str">
        <f t="shared" si="314"/>
        <v>ｼﾑ</v>
      </c>
      <c r="AN323" t="str">
        <f t="shared" si="332"/>
        <v>012</v>
      </c>
      <c r="AO323" t="str">
        <f t="shared" si="333"/>
        <v>TP-131 ﾊﾝﾖｳ</v>
      </c>
      <c r="AP323">
        <v>100</v>
      </c>
      <c r="AQ323" t="str">
        <f>""</f>
        <v/>
      </c>
      <c r="AR323" t="str">
        <f>""</f>
        <v/>
      </c>
      <c r="AS323" t="str">
        <f>""</f>
        <v/>
      </c>
      <c r="AT323" t="str">
        <f t="shared" si="334"/>
        <v>00</v>
      </c>
      <c r="AU323">
        <v>0.5</v>
      </c>
      <c r="AV323" t="str">
        <f>""</f>
        <v/>
      </c>
      <c r="AW323" t="str">
        <f t="shared" si="315"/>
        <v>06</v>
      </c>
      <c r="AX323" t="str">
        <f t="shared" si="316"/>
        <v>計画</v>
      </c>
      <c r="AY323" t="str">
        <f t="shared" si="317"/>
        <v>02</v>
      </c>
      <c r="AZ323" t="str">
        <f t="shared" si="318"/>
        <v>計画・２社</v>
      </c>
      <c r="BA323" t="str">
        <f>""</f>
        <v/>
      </c>
      <c r="BB323" t="str">
        <f t="shared" si="335"/>
        <v>ＴＰ１３１フタナシ</v>
      </c>
      <c r="BC323" t="str">
        <f t="shared" si="336"/>
        <v xml:space="preserve"> 335.000</v>
      </c>
      <c r="BD323" t="str">
        <f t="shared" si="337"/>
        <v xml:space="preserve"> 168.000</v>
      </c>
      <c r="BE323" t="str">
        <f t="shared" si="338"/>
        <v xml:space="preserve"> 103.000</v>
      </c>
      <c r="BF323" t="str">
        <f t="shared" si="339"/>
        <v xml:space="preserve">   0.006</v>
      </c>
      <c r="BG323" t="str">
        <f t="shared" si="323"/>
        <v xml:space="preserve">   6.500</v>
      </c>
      <c r="BH323" t="str">
        <f t="shared" si="324"/>
        <v>しない</v>
      </c>
      <c r="BI323" t="str">
        <f>""</f>
        <v/>
      </c>
      <c r="BJ323" t="str">
        <f t="shared" si="321"/>
        <v>MASTER01</v>
      </c>
      <c r="BK323" t="str">
        <f t="shared" si="327"/>
        <v>2022/04/19</v>
      </c>
      <c r="BL323" t="str">
        <f t="shared" si="350"/>
        <v>NE00</v>
      </c>
      <c r="BM323" t="str">
        <f t="shared" si="351"/>
        <v>１工工務Ｇ</v>
      </c>
      <c r="BN323" t="str">
        <f t="shared" si="319"/>
        <v>46548</v>
      </c>
      <c r="BO323" t="str">
        <f t="shared" si="320"/>
        <v>長畑　玲奈</v>
      </c>
    </row>
    <row r="324" spans="1:67">
      <c r="A324" t="s">
        <v>406</v>
      </c>
      <c r="B324" t="str">
        <f>""</f>
        <v/>
      </c>
      <c r="C324" t="str">
        <f>""</f>
        <v/>
      </c>
      <c r="D324" t="str">
        <f t="shared" ref="D324:D387" si="352">"SHIM"</f>
        <v>SHIM</v>
      </c>
      <c r="E324" t="str">
        <f t="shared" si="340"/>
        <v>1Y</v>
      </c>
      <c r="F324" t="str">
        <f t="shared" si="341"/>
        <v>第１工場</v>
      </c>
      <c r="G324" t="str">
        <f t="shared" si="342"/>
        <v>手配</v>
      </c>
      <c r="H324" t="str">
        <f t="shared" si="343"/>
        <v>Ｐ</v>
      </c>
      <c r="I324" t="str">
        <f t="shared" si="328"/>
        <v>6454</v>
      </c>
      <c r="J324" t="str">
        <f t="shared" si="329"/>
        <v>（株）ムロコーポレーション</v>
      </c>
      <c r="K324" t="str">
        <f t="shared" si="326"/>
        <v>01</v>
      </c>
      <c r="L324" t="str">
        <f>""</f>
        <v/>
      </c>
      <c r="M324" t="str">
        <f t="shared" si="325"/>
        <v>――</v>
      </c>
      <c r="N324" t="str">
        <f t="shared" si="325"/>
        <v>――</v>
      </c>
      <c r="O324" t="str">
        <f t="shared" si="344"/>
        <v>Ｍ</v>
      </c>
      <c r="P324" t="str">
        <f t="shared" si="345"/>
        <v>01</v>
      </c>
      <c r="Q324" t="str">
        <f t="shared" si="346"/>
        <v>第１</v>
      </c>
      <c r="R324" t="str">
        <f t="shared" si="347"/>
        <v>1Y</v>
      </c>
      <c r="S324" t="str">
        <f t="shared" si="348"/>
        <v>安城第１工場</v>
      </c>
      <c r="T324" t="str">
        <f t="shared" si="349"/>
        <v>直接</v>
      </c>
      <c r="U324" t="str">
        <f>""</f>
        <v/>
      </c>
      <c r="V324" t="str">
        <f>""</f>
        <v/>
      </c>
      <c r="W324" t="str">
        <f>""</f>
        <v/>
      </c>
      <c r="X324">
        <v>1</v>
      </c>
      <c r="Y324">
        <v>1</v>
      </c>
      <c r="Z324">
        <v>0.73</v>
      </c>
      <c r="AA324">
        <v>0.93</v>
      </c>
      <c r="AB324">
        <v>3</v>
      </c>
      <c r="AC324">
        <v>0.93</v>
      </c>
      <c r="AD324">
        <v>0.93</v>
      </c>
      <c r="AE324">
        <v>1.1000000000000001</v>
      </c>
      <c r="AF324">
        <v>0.5</v>
      </c>
      <c r="AG324" t="str">
        <f t="shared" si="330"/>
        <v>205</v>
      </c>
      <c r="AH324" t="str">
        <f t="shared" si="331"/>
        <v>（株）ムロコーポレーション</v>
      </c>
      <c r="AI324" t="str">
        <f>"171"</f>
        <v>171</v>
      </c>
      <c r="AJ324" t="str">
        <f>"S-SM-2-14"</f>
        <v>S-SM-2-14</v>
      </c>
      <c r="AK324" t="str">
        <f>"10216"</f>
        <v>10216</v>
      </c>
      <c r="AL324" t="str">
        <f t="shared" ref="AL324:AL387" si="353">"0370"</f>
        <v>0370</v>
      </c>
      <c r="AM324" t="str">
        <f t="shared" ref="AM324:AM387" si="354">"ｼﾑ"</f>
        <v>ｼﾑ</v>
      </c>
      <c r="AN324" t="str">
        <f t="shared" si="332"/>
        <v>012</v>
      </c>
      <c r="AO324" t="str">
        <f t="shared" si="333"/>
        <v>TP-131 ﾊﾝﾖｳ</v>
      </c>
      <c r="AP324">
        <v>100</v>
      </c>
      <c r="AQ324" t="str">
        <f>""</f>
        <v/>
      </c>
      <c r="AR324" t="str">
        <f>""</f>
        <v/>
      </c>
      <c r="AS324" t="str">
        <f>""</f>
        <v/>
      </c>
      <c r="AT324" t="str">
        <f t="shared" si="334"/>
        <v>00</v>
      </c>
      <c r="AU324">
        <v>0.5</v>
      </c>
      <c r="AV324" t="str">
        <f>""</f>
        <v/>
      </c>
      <c r="AW324" t="str">
        <f t="shared" ref="AW324:AW387" si="355">"06"</f>
        <v>06</v>
      </c>
      <c r="AX324" t="str">
        <f t="shared" ref="AX324:AX387" si="356">"計画"</f>
        <v>計画</v>
      </c>
      <c r="AY324" t="str">
        <f t="shared" ref="AY324:AY387" si="357">"02"</f>
        <v>02</v>
      </c>
      <c r="AZ324" t="str">
        <f t="shared" ref="AZ324:AZ387" si="358">"計画・２社"</f>
        <v>計画・２社</v>
      </c>
      <c r="BA324" t="str">
        <f>""</f>
        <v/>
      </c>
      <c r="BB324" t="str">
        <f t="shared" si="335"/>
        <v>ＴＰ１３１フタナシ</v>
      </c>
      <c r="BC324" t="str">
        <f t="shared" si="336"/>
        <v xml:space="preserve"> 335.000</v>
      </c>
      <c r="BD324" t="str">
        <f t="shared" si="337"/>
        <v xml:space="preserve"> 168.000</v>
      </c>
      <c r="BE324" t="str">
        <f t="shared" si="338"/>
        <v xml:space="preserve"> 103.000</v>
      </c>
      <c r="BF324" t="str">
        <f t="shared" si="339"/>
        <v xml:space="preserve">   0.006</v>
      </c>
      <c r="BG324" t="str">
        <f t="shared" si="323"/>
        <v xml:space="preserve">   6.500</v>
      </c>
      <c r="BH324" t="str">
        <f t="shared" si="324"/>
        <v>しない</v>
      </c>
      <c r="BI324" t="str">
        <f>""</f>
        <v/>
      </c>
      <c r="BJ324" t="str">
        <f t="shared" si="321"/>
        <v>MASTER01</v>
      </c>
      <c r="BK324" t="str">
        <f t="shared" si="327"/>
        <v>2022/04/19</v>
      </c>
      <c r="BL324" t="str">
        <f t="shared" si="350"/>
        <v>NE00</v>
      </c>
      <c r="BM324" t="str">
        <f t="shared" si="351"/>
        <v>１工工務Ｇ</v>
      </c>
      <c r="BN324" t="str">
        <f t="shared" si="319"/>
        <v>46548</v>
      </c>
      <c r="BO324" t="str">
        <f t="shared" si="320"/>
        <v>長畑　玲奈</v>
      </c>
    </row>
    <row r="325" spans="1:67">
      <c r="A325" t="s">
        <v>407</v>
      </c>
      <c r="B325" t="str">
        <f>""</f>
        <v/>
      </c>
      <c r="C325" t="str">
        <f>""</f>
        <v/>
      </c>
      <c r="D325" t="str">
        <f t="shared" si="352"/>
        <v>SHIM</v>
      </c>
      <c r="E325" t="str">
        <f t="shared" si="340"/>
        <v>1Y</v>
      </c>
      <c r="F325" t="str">
        <f t="shared" si="341"/>
        <v>第１工場</v>
      </c>
      <c r="G325" t="str">
        <f t="shared" si="342"/>
        <v>手配</v>
      </c>
      <c r="H325" t="str">
        <f t="shared" si="343"/>
        <v>Ｐ</v>
      </c>
      <c r="I325" t="str">
        <f t="shared" si="328"/>
        <v>6454</v>
      </c>
      <c r="J325" t="str">
        <f t="shared" si="329"/>
        <v>（株）ムロコーポレーション</v>
      </c>
      <c r="K325" t="str">
        <f t="shared" si="326"/>
        <v>01</v>
      </c>
      <c r="L325" t="str">
        <f>""</f>
        <v/>
      </c>
      <c r="M325" t="str">
        <f t="shared" si="325"/>
        <v>――</v>
      </c>
      <c r="N325" t="str">
        <f t="shared" si="325"/>
        <v>――</v>
      </c>
      <c r="O325" t="str">
        <f t="shared" si="344"/>
        <v>Ｍ</v>
      </c>
      <c r="P325" t="str">
        <f t="shared" si="345"/>
        <v>01</v>
      </c>
      <c r="Q325" t="str">
        <f t="shared" si="346"/>
        <v>第１</v>
      </c>
      <c r="R325" t="str">
        <f t="shared" si="347"/>
        <v>1Y</v>
      </c>
      <c r="S325" t="str">
        <f t="shared" si="348"/>
        <v>安城第１工場</v>
      </c>
      <c r="T325" t="str">
        <f t="shared" si="349"/>
        <v>直接</v>
      </c>
      <c r="U325" t="str">
        <f>""</f>
        <v/>
      </c>
      <c r="V325" t="str">
        <f>""</f>
        <v/>
      </c>
      <c r="W325" t="str">
        <f>""</f>
        <v/>
      </c>
      <c r="X325">
        <v>1</v>
      </c>
      <c r="Y325">
        <v>1</v>
      </c>
      <c r="Z325">
        <v>0.73</v>
      </c>
      <c r="AA325">
        <v>0.93</v>
      </c>
      <c r="AB325">
        <v>3</v>
      </c>
      <c r="AC325">
        <v>0.93</v>
      </c>
      <c r="AD325">
        <v>0.93</v>
      </c>
      <c r="AE325">
        <v>1.1000000000000001</v>
      </c>
      <c r="AF325">
        <v>0.5</v>
      </c>
      <c r="AG325" t="str">
        <f t="shared" si="330"/>
        <v>205</v>
      </c>
      <c r="AH325" t="str">
        <f t="shared" si="331"/>
        <v>（株）ムロコーポレーション</v>
      </c>
      <c r="AI325" t="str">
        <f>"172"</f>
        <v>172</v>
      </c>
      <c r="AJ325" t="str">
        <f>"S-SM-2-15"</f>
        <v>S-SM-2-15</v>
      </c>
      <c r="AK325" t="str">
        <f>"10217"</f>
        <v>10217</v>
      </c>
      <c r="AL325" t="str">
        <f t="shared" si="353"/>
        <v>0370</v>
      </c>
      <c r="AM325" t="str">
        <f t="shared" si="354"/>
        <v>ｼﾑ</v>
      </c>
      <c r="AN325" t="str">
        <f t="shared" si="332"/>
        <v>012</v>
      </c>
      <c r="AO325" t="str">
        <f t="shared" si="333"/>
        <v>TP-131 ﾊﾝﾖｳ</v>
      </c>
      <c r="AP325">
        <v>100</v>
      </c>
      <c r="AQ325" t="str">
        <f>""</f>
        <v/>
      </c>
      <c r="AR325" t="str">
        <f>""</f>
        <v/>
      </c>
      <c r="AS325" t="str">
        <f>""</f>
        <v/>
      </c>
      <c r="AT325" t="str">
        <f t="shared" si="334"/>
        <v>00</v>
      </c>
      <c r="AU325">
        <v>0.5</v>
      </c>
      <c r="AV325" t="str">
        <f>""</f>
        <v/>
      </c>
      <c r="AW325" t="str">
        <f t="shared" si="355"/>
        <v>06</v>
      </c>
      <c r="AX325" t="str">
        <f t="shared" si="356"/>
        <v>計画</v>
      </c>
      <c r="AY325" t="str">
        <f t="shared" si="357"/>
        <v>02</v>
      </c>
      <c r="AZ325" t="str">
        <f t="shared" si="358"/>
        <v>計画・２社</v>
      </c>
      <c r="BA325" t="str">
        <f>""</f>
        <v/>
      </c>
      <c r="BB325" t="str">
        <f t="shared" si="335"/>
        <v>ＴＰ１３１フタナシ</v>
      </c>
      <c r="BC325" t="str">
        <f t="shared" si="336"/>
        <v xml:space="preserve"> 335.000</v>
      </c>
      <c r="BD325" t="str">
        <f t="shared" si="337"/>
        <v xml:space="preserve"> 168.000</v>
      </c>
      <c r="BE325" t="str">
        <f t="shared" si="338"/>
        <v xml:space="preserve"> 103.000</v>
      </c>
      <c r="BF325" t="str">
        <f t="shared" si="339"/>
        <v xml:space="preserve">   0.006</v>
      </c>
      <c r="BG325" t="str">
        <f t="shared" si="323"/>
        <v xml:space="preserve">   6.500</v>
      </c>
      <c r="BH325" t="str">
        <f t="shared" si="324"/>
        <v>しない</v>
      </c>
      <c r="BI325" t="str">
        <f>""</f>
        <v/>
      </c>
      <c r="BJ325" t="str">
        <f t="shared" si="321"/>
        <v>MASTER01</v>
      </c>
      <c r="BK325" t="str">
        <f t="shared" si="327"/>
        <v>2022/04/19</v>
      </c>
      <c r="BL325" t="str">
        <f t="shared" si="350"/>
        <v>NE00</v>
      </c>
      <c r="BM325" t="str">
        <f t="shared" si="351"/>
        <v>１工工務Ｇ</v>
      </c>
      <c r="BN325" t="str">
        <f t="shared" ref="BN325:BN388" si="359">"46548"</f>
        <v>46548</v>
      </c>
      <c r="BO325" t="str">
        <f t="shared" ref="BO325:BO388" si="360">"長畑　玲奈"</f>
        <v>長畑　玲奈</v>
      </c>
    </row>
    <row r="326" spans="1:67">
      <c r="A326" t="s">
        <v>408</v>
      </c>
      <c r="B326" t="str">
        <f>""</f>
        <v/>
      </c>
      <c r="C326" t="str">
        <f>""</f>
        <v/>
      </c>
      <c r="D326" t="str">
        <f t="shared" si="352"/>
        <v>SHIM</v>
      </c>
      <c r="E326" t="str">
        <f t="shared" si="340"/>
        <v>1Y</v>
      </c>
      <c r="F326" t="str">
        <f t="shared" si="341"/>
        <v>第１工場</v>
      </c>
      <c r="G326" t="str">
        <f t="shared" si="342"/>
        <v>手配</v>
      </c>
      <c r="H326" t="str">
        <f t="shared" si="343"/>
        <v>Ｐ</v>
      </c>
      <c r="I326" t="str">
        <f t="shared" si="328"/>
        <v>6454</v>
      </c>
      <c r="J326" t="str">
        <f t="shared" si="329"/>
        <v>（株）ムロコーポレーション</v>
      </c>
      <c r="K326" t="str">
        <f t="shared" si="326"/>
        <v>01</v>
      </c>
      <c r="L326" t="str">
        <f>""</f>
        <v/>
      </c>
      <c r="M326" t="str">
        <f t="shared" si="325"/>
        <v>――</v>
      </c>
      <c r="N326" t="str">
        <f t="shared" si="325"/>
        <v>――</v>
      </c>
      <c r="O326" t="str">
        <f t="shared" si="344"/>
        <v>Ｍ</v>
      </c>
      <c r="P326" t="str">
        <f t="shared" si="345"/>
        <v>01</v>
      </c>
      <c r="Q326" t="str">
        <f t="shared" si="346"/>
        <v>第１</v>
      </c>
      <c r="R326" t="str">
        <f t="shared" si="347"/>
        <v>1Y</v>
      </c>
      <c r="S326" t="str">
        <f t="shared" si="348"/>
        <v>安城第１工場</v>
      </c>
      <c r="T326" t="str">
        <f t="shared" si="349"/>
        <v>直接</v>
      </c>
      <c r="U326" t="str">
        <f>""</f>
        <v/>
      </c>
      <c r="V326" t="str">
        <f>""</f>
        <v/>
      </c>
      <c r="W326" t="str">
        <f>""</f>
        <v/>
      </c>
      <c r="X326">
        <v>1</v>
      </c>
      <c r="Y326">
        <v>1</v>
      </c>
      <c r="Z326">
        <v>0.73</v>
      </c>
      <c r="AA326">
        <v>0.93</v>
      </c>
      <c r="AB326">
        <v>3</v>
      </c>
      <c r="AC326">
        <v>0.93</v>
      </c>
      <c r="AD326">
        <v>0.93</v>
      </c>
      <c r="AE326">
        <v>1.1000000000000001</v>
      </c>
      <c r="AF326">
        <v>0.5</v>
      </c>
      <c r="AG326" t="str">
        <f t="shared" si="330"/>
        <v>205</v>
      </c>
      <c r="AH326" t="str">
        <f t="shared" si="331"/>
        <v>（株）ムロコーポレーション</v>
      </c>
      <c r="AI326" t="str">
        <f>"173"</f>
        <v>173</v>
      </c>
      <c r="AJ326" t="str">
        <f>"S-SM-2-16"</f>
        <v>S-SM-2-16</v>
      </c>
      <c r="AK326" t="str">
        <f>"10218"</f>
        <v>10218</v>
      </c>
      <c r="AL326" t="str">
        <f t="shared" si="353"/>
        <v>0370</v>
      </c>
      <c r="AM326" t="str">
        <f t="shared" si="354"/>
        <v>ｼﾑ</v>
      </c>
      <c r="AN326" t="str">
        <f t="shared" si="332"/>
        <v>012</v>
      </c>
      <c r="AO326" t="str">
        <f t="shared" si="333"/>
        <v>TP-131 ﾊﾝﾖｳ</v>
      </c>
      <c r="AP326">
        <v>100</v>
      </c>
      <c r="AQ326" t="str">
        <f>""</f>
        <v/>
      </c>
      <c r="AR326" t="str">
        <f>""</f>
        <v/>
      </c>
      <c r="AS326" t="str">
        <f>""</f>
        <v/>
      </c>
      <c r="AT326" t="str">
        <f t="shared" si="334"/>
        <v>00</v>
      </c>
      <c r="AU326">
        <v>0.5</v>
      </c>
      <c r="AV326" t="str">
        <f>""</f>
        <v/>
      </c>
      <c r="AW326" t="str">
        <f t="shared" si="355"/>
        <v>06</v>
      </c>
      <c r="AX326" t="str">
        <f t="shared" si="356"/>
        <v>計画</v>
      </c>
      <c r="AY326" t="str">
        <f t="shared" si="357"/>
        <v>02</v>
      </c>
      <c r="AZ326" t="str">
        <f t="shared" si="358"/>
        <v>計画・２社</v>
      </c>
      <c r="BA326" t="str">
        <f>""</f>
        <v/>
      </c>
      <c r="BB326" t="str">
        <f t="shared" si="335"/>
        <v>ＴＰ１３１フタナシ</v>
      </c>
      <c r="BC326" t="str">
        <f t="shared" si="336"/>
        <v xml:space="preserve"> 335.000</v>
      </c>
      <c r="BD326" t="str">
        <f t="shared" si="337"/>
        <v xml:space="preserve"> 168.000</v>
      </c>
      <c r="BE326" t="str">
        <f t="shared" si="338"/>
        <v xml:space="preserve"> 103.000</v>
      </c>
      <c r="BF326" t="str">
        <f t="shared" si="339"/>
        <v xml:space="preserve">   0.006</v>
      </c>
      <c r="BG326" t="str">
        <f t="shared" si="323"/>
        <v xml:space="preserve">   6.500</v>
      </c>
      <c r="BH326" t="str">
        <f t="shared" si="324"/>
        <v>しない</v>
      </c>
      <c r="BI326" t="str">
        <f>""</f>
        <v/>
      </c>
      <c r="BJ326" t="str">
        <f t="shared" si="321"/>
        <v>MASTER01</v>
      </c>
      <c r="BK326" t="str">
        <f t="shared" si="327"/>
        <v>2022/04/19</v>
      </c>
      <c r="BL326" t="str">
        <f t="shared" si="350"/>
        <v>NE00</v>
      </c>
      <c r="BM326" t="str">
        <f t="shared" si="351"/>
        <v>１工工務Ｇ</v>
      </c>
      <c r="BN326" t="str">
        <f t="shared" si="359"/>
        <v>46548</v>
      </c>
      <c r="BO326" t="str">
        <f t="shared" si="360"/>
        <v>長畑　玲奈</v>
      </c>
    </row>
    <row r="327" spans="1:67">
      <c r="A327" t="s">
        <v>409</v>
      </c>
      <c r="B327" t="str">
        <f>""</f>
        <v/>
      </c>
      <c r="C327" t="str">
        <f>""</f>
        <v/>
      </c>
      <c r="D327" t="str">
        <f t="shared" si="352"/>
        <v>SHIM</v>
      </c>
      <c r="E327" t="str">
        <f t="shared" si="340"/>
        <v>1Y</v>
      </c>
      <c r="F327" t="str">
        <f t="shared" si="341"/>
        <v>第１工場</v>
      </c>
      <c r="G327" t="str">
        <f t="shared" si="342"/>
        <v>手配</v>
      </c>
      <c r="H327" t="str">
        <f t="shared" si="343"/>
        <v>Ｐ</v>
      </c>
      <c r="I327" t="str">
        <f t="shared" si="328"/>
        <v>6454</v>
      </c>
      <c r="J327" t="str">
        <f t="shared" si="329"/>
        <v>（株）ムロコーポレーション</v>
      </c>
      <c r="K327" t="str">
        <f t="shared" si="326"/>
        <v>01</v>
      </c>
      <c r="L327" t="str">
        <f>""</f>
        <v/>
      </c>
      <c r="M327" t="str">
        <f t="shared" si="325"/>
        <v>――</v>
      </c>
      <c r="N327" t="str">
        <f t="shared" si="325"/>
        <v>――</v>
      </c>
      <c r="O327" t="str">
        <f t="shared" si="344"/>
        <v>Ｍ</v>
      </c>
      <c r="P327" t="str">
        <f t="shared" si="345"/>
        <v>01</v>
      </c>
      <c r="Q327" t="str">
        <f t="shared" si="346"/>
        <v>第１</v>
      </c>
      <c r="R327" t="str">
        <f t="shared" si="347"/>
        <v>1Y</v>
      </c>
      <c r="S327" t="str">
        <f t="shared" si="348"/>
        <v>安城第１工場</v>
      </c>
      <c r="T327" t="str">
        <f t="shared" si="349"/>
        <v>直接</v>
      </c>
      <c r="U327" t="str">
        <f>""</f>
        <v/>
      </c>
      <c r="V327" t="str">
        <f>""</f>
        <v/>
      </c>
      <c r="W327" t="str">
        <f>""</f>
        <v/>
      </c>
      <c r="X327">
        <v>1</v>
      </c>
      <c r="Y327">
        <v>1</v>
      </c>
      <c r="Z327">
        <v>0.73</v>
      </c>
      <c r="AA327">
        <v>0.93</v>
      </c>
      <c r="AB327">
        <v>3</v>
      </c>
      <c r="AC327">
        <v>0.93</v>
      </c>
      <c r="AD327">
        <v>0.93</v>
      </c>
      <c r="AE327">
        <v>1.1000000000000001</v>
      </c>
      <c r="AF327">
        <v>0.5</v>
      </c>
      <c r="AG327" t="str">
        <f t="shared" si="330"/>
        <v>205</v>
      </c>
      <c r="AH327" t="str">
        <f t="shared" si="331"/>
        <v>（株）ムロコーポレーション</v>
      </c>
      <c r="AI327" t="str">
        <f>"174"</f>
        <v>174</v>
      </c>
      <c r="AJ327" t="str">
        <f>"S-SM-2-17"</f>
        <v>S-SM-2-17</v>
      </c>
      <c r="AK327" t="str">
        <f>"10219"</f>
        <v>10219</v>
      </c>
      <c r="AL327" t="str">
        <f t="shared" si="353"/>
        <v>0370</v>
      </c>
      <c r="AM327" t="str">
        <f t="shared" si="354"/>
        <v>ｼﾑ</v>
      </c>
      <c r="AN327" t="str">
        <f t="shared" si="332"/>
        <v>012</v>
      </c>
      <c r="AO327" t="str">
        <f t="shared" si="333"/>
        <v>TP-131 ﾊﾝﾖｳ</v>
      </c>
      <c r="AP327">
        <v>100</v>
      </c>
      <c r="AQ327" t="str">
        <f>""</f>
        <v/>
      </c>
      <c r="AR327" t="str">
        <f>""</f>
        <v/>
      </c>
      <c r="AS327" t="str">
        <f>""</f>
        <v/>
      </c>
      <c r="AT327" t="str">
        <f t="shared" si="334"/>
        <v>00</v>
      </c>
      <c r="AU327">
        <v>0.5</v>
      </c>
      <c r="AV327" t="str">
        <f>""</f>
        <v/>
      </c>
      <c r="AW327" t="str">
        <f t="shared" si="355"/>
        <v>06</v>
      </c>
      <c r="AX327" t="str">
        <f t="shared" si="356"/>
        <v>計画</v>
      </c>
      <c r="AY327" t="str">
        <f t="shared" si="357"/>
        <v>02</v>
      </c>
      <c r="AZ327" t="str">
        <f t="shared" si="358"/>
        <v>計画・２社</v>
      </c>
      <c r="BA327" t="str">
        <f>""</f>
        <v/>
      </c>
      <c r="BB327" t="str">
        <f t="shared" si="335"/>
        <v>ＴＰ１３１フタナシ</v>
      </c>
      <c r="BC327" t="str">
        <f t="shared" si="336"/>
        <v xml:space="preserve"> 335.000</v>
      </c>
      <c r="BD327" t="str">
        <f t="shared" si="337"/>
        <v xml:space="preserve"> 168.000</v>
      </c>
      <c r="BE327" t="str">
        <f t="shared" si="338"/>
        <v xml:space="preserve"> 103.000</v>
      </c>
      <c r="BF327" t="str">
        <f t="shared" si="339"/>
        <v xml:space="preserve">   0.006</v>
      </c>
      <c r="BG327" t="str">
        <f t="shared" si="323"/>
        <v xml:space="preserve">   6.500</v>
      </c>
      <c r="BH327" t="str">
        <f t="shared" si="324"/>
        <v>しない</v>
      </c>
      <c r="BI327" t="str">
        <f>""</f>
        <v/>
      </c>
      <c r="BJ327" t="str">
        <f t="shared" si="321"/>
        <v>MASTER01</v>
      </c>
      <c r="BK327" t="str">
        <f t="shared" si="327"/>
        <v>2022/04/19</v>
      </c>
      <c r="BL327" t="str">
        <f t="shared" si="350"/>
        <v>NE00</v>
      </c>
      <c r="BM327" t="str">
        <f t="shared" si="351"/>
        <v>１工工務Ｇ</v>
      </c>
      <c r="BN327" t="str">
        <f t="shared" si="359"/>
        <v>46548</v>
      </c>
      <c r="BO327" t="str">
        <f t="shared" si="360"/>
        <v>長畑　玲奈</v>
      </c>
    </row>
    <row r="328" spans="1:67">
      <c r="A328" t="s">
        <v>410</v>
      </c>
      <c r="B328" t="str">
        <f>""</f>
        <v/>
      </c>
      <c r="C328" t="str">
        <f>""</f>
        <v/>
      </c>
      <c r="D328" t="str">
        <f t="shared" si="352"/>
        <v>SHIM</v>
      </c>
      <c r="E328" t="str">
        <f t="shared" si="340"/>
        <v>1Y</v>
      </c>
      <c r="F328" t="str">
        <f t="shared" si="341"/>
        <v>第１工場</v>
      </c>
      <c r="G328" t="str">
        <f t="shared" si="342"/>
        <v>手配</v>
      </c>
      <c r="H328" t="str">
        <f t="shared" si="343"/>
        <v>Ｐ</v>
      </c>
      <c r="I328" t="str">
        <f t="shared" si="328"/>
        <v>6454</v>
      </c>
      <c r="J328" t="str">
        <f t="shared" si="329"/>
        <v>（株）ムロコーポレーション</v>
      </c>
      <c r="K328" t="str">
        <f t="shared" si="326"/>
        <v>01</v>
      </c>
      <c r="L328" t="str">
        <f>""</f>
        <v/>
      </c>
      <c r="M328" t="str">
        <f t="shared" si="325"/>
        <v>――</v>
      </c>
      <c r="N328" t="str">
        <f t="shared" si="325"/>
        <v>――</v>
      </c>
      <c r="O328" t="str">
        <f t="shared" si="344"/>
        <v>Ｍ</v>
      </c>
      <c r="P328" t="str">
        <f t="shared" si="345"/>
        <v>01</v>
      </c>
      <c r="Q328" t="str">
        <f t="shared" si="346"/>
        <v>第１</v>
      </c>
      <c r="R328" t="str">
        <f t="shared" si="347"/>
        <v>1Y</v>
      </c>
      <c r="S328" t="str">
        <f t="shared" si="348"/>
        <v>安城第１工場</v>
      </c>
      <c r="T328" t="str">
        <f t="shared" si="349"/>
        <v>直接</v>
      </c>
      <c r="U328" t="str">
        <f>""</f>
        <v/>
      </c>
      <c r="V328" t="str">
        <f>""</f>
        <v/>
      </c>
      <c r="W328" t="str">
        <f>""</f>
        <v/>
      </c>
      <c r="X328">
        <v>1</v>
      </c>
      <c r="Y328">
        <v>1</v>
      </c>
      <c r="Z328">
        <v>0.73</v>
      </c>
      <c r="AA328">
        <v>0.93</v>
      </c>
      <c r="AB328">
        <v>3</v>
      </c>
      <c r="AC328">
        <v>0.93</v>
      </c>
      <c r="AD328">
        <v>0.93</v>
      </c>
      <c r="AE328">
        <v>1.1000000000000001</v>
      </c>
      <c r="AF328">
        <v>0.5</v>
      </c>
      <c r="AG328" t="str">
        <f t="shared" si="330"/>
        <v>205</v>
      </c>
      <c r="AH328" t="str">
        <f t="shared" si="331"/>
        <v>（株）ムロコーポレーション</v>
      </c>
      <c r="AI328" t="str">
        <f>"175"</f>
        <v>175</v>
      </c>
      <c r="AJ328" t="str">
        <f>"S-SM-2-18"</f>
        <v>S-SM-2-18</v>
      </c>
      <c r="AK328" t="str">
        <f>"10220"</f>
        <v>10220</v>
      </c>
      <c r="AL328" t="str">
        <f t="shared" si="353"/>
        <v>0370</v>
      </c>
      <c r="AM328" t="str">
        <f t="shared" si="354"/>
        <v>ｼﾑ</v>
      </c>
      <c r="AN328" t="str">
        <f t="shared" si="332"/>
        <v>012</v>
      </c>
      <c r="AO328" t="str">
        <f t="shared" si="333"/>
        <v>TP-131 ﾊﾝﾖｳ</v>
      </c>
      <c r="AP328">
        <v>100</v>
      </c>
      <c r="AQ328" t="str">
        <f>""</f>
        <v/>
      </c>
      <c r="AR328" t="str">
        <f>""</f>
        <v/>
      </c>
      <c r="AS328" t="str">
        <f>""</f>
        <v/>
      </c>
      <c r="AT328" t="str">
        <f t="shared" si="334"/>
        <v>00</v>
      </c>
      <c r="AU328">
        <v>0.5</v>
      </c>
      <c r="AV328" t="str">
        <f>""</f>
        <v/>
      </c>
      <c r="AW328" t="str">
        <f t="shared" si="355"/>
        <v>06</v>
      </c>
      <c r="AX328" t="str">
        <f t="shared" si="356"/>
        <v>計画</v>
      </c>
      <c r="AY328" t="str">
        <f t="shared" si="357"/>
        <v>02</v>
      </c>
      <c r="AZ328" t="str">
        <f t="shared" si="358"/>
        <v>計画・２社</v>
      </c>
      <c r="BA328" t="str">
        <f>""</f>
        <v/>
      </c>
      <c r="BB328" t="str">
        <f t="shared" si="335"/>
        <v>ＴＰ１３１フタナシ</v>
      </c>
      <c r="BC328" t="str">
        <f t="shared" si="336"/>
        <v xml:space="preserve"> 335.000</v>
      </c>
      <c r="BD328" t="str">
        <f t="shared" si="337"/>
        <v xml:space="preserve"> 168.000</v>
      </c>
      <c r="BE328" t="str">
        <f t="shared" si="338"/>
        <v xml:space="preserve"> 103.000</v>
      </c>
      <c r="BF328" t="str">
        <f t="shared" si="339"/>
        <v xml:space="preserve">   0.006</v>
      </c>
      <c r="BG328" t="str">
        <f t="shared" si="323"/>
        <v xml:space="preserve">   6.500</v>
      </c>
      <c r="BH328" t="str">
        <f t="shared" si="324"/>
        <v>しない</v>
      </c>
      <c r="BI328" t="str">
        <f>""</f>
        <v/>
      </c>
      <c r="BJ328" t="str">
        <f t="shared" si="321"/>
        <v>MASTER01</v>
      </c>
      <c r="BK328" t="str">
        <f t="shared" si="327"/>
        <v>2022/04/19</v>
      </c>
      <c r="BL328" t="str">
        <f t="shared" si="350"/>
        <v>NE00</v>
      </c>
      <c r="BM328" t="str">
        <f t="shared" si="351"/>
        <v>１工工務Ｇ</v>
      </c>
      <c r="BN328" t="str">
        <f t="shared" si="359"/>
        <v>46548</v>
      </c>
      <c r="BO328" t="str">
        <f t="shared" si="360"/>
        <v>長畑　玲奈</v>
      </c>
    </row>
    <row r="329" spans="1:67">
      <c r="A329" t="s">
        <v>411</v>
      </c>
      <c r="B329" t="str">
        <f>""</f>
        <v/>
      </c>
      <c r="C329" t="str">
        <f>""</f>
        <v/>
      </c>
      <c r="D329" t="str">
        <f t="shared" si="352"/>
        <v>SHIM</v>
      </c>
      <c r="E329" t="str">
        <f t="shared" si="340"/>
        <v>1Y</v>
      </c>
      <c r="F329" t="str">
        <f t="shared" si="341"/>
        <v>第１工場</v>
      </c>
      <c r="G329" t="str">
        <f t="shared" si="342"/>
        <v>手配</v>
      </c>
      <c r="H329" t="str">
        <f t="shared" si="343"/>
        <v>Ｐ</v>
      </c>
      <c r="I329" t="str">
        <f t="shared" si="328"/>
        <v>6454</v>
      </c>
      <c r="J329" t="str">
        <f t="shared" si="329"/>
        <v>（株）ムロコーポレーション</v>
      </c>
      <c r="K329" t="str">
        <f t="shared" si="326"/>
        <v>01</v>
      </c>
      <c r="L329" t="str">
        <f>""</f>
        <v/>
      </c>
      <c r="M329" t="str">
        <f t="shared" si="325"/>
        <v>――</v>
      </c>
      <c r="N329" t="str">
        <f t="shared" si="325"/>
        <v>――</v>
      </c>
      <c r="O329" t="str">
        <f t="shared" si="344"/>
        <v>Ｍ</v>
      </c>
      <c r="P329" t="str">
        <f t="shared" si="345"/>
        <v>01</v>
      </c>
      <c r="Q329" t="str">
        <f t="shared" si="346"/>
        <v>第１</v>
      </c>
      <c r="R329" t="str">
        <f t="shared" si="347"/>
        <v>1Y</v>
      </c>
      <c r="S329" t="str">
        <f t="shared" si="348"/>
        <v>安城第１工場</v>
      </c>
      <c r="T329" t="str">
        <f t="shared" si="349"/>
        <v>直接</v>
      </c>
      <c r="U329" t="str">
        <f>""</f>
        <v/>
      </c>
      <c r="V329" t="str">
        <f>""</f>
        <v/>
      </c>
      <c r="W329" t="str">
        <f>""</f>
        <v/>
      </c>
      <c r="X329">
        <v>1</v>
      </c>
      <c r="Y329">
        <v>1</v>
      </c>
      <c r="Z329">
        <v>0.73</v>
      </c>
      <c r="AA329">
        <v>0.93</v>
      </c>
      <c r="AB329">
        <v>3</v>
      </c>
      <c r="AC329">
        <v>0.93</v>
      </c>
      <c r="AD329">
        <v>0.93</v>
      </c>
      <c r="AE329">
        <v>1.1000000000000001</v>
      </c>
      <c r="AF329">
        <v>0.5</v>
      </c>
      <c r="AG329" t="str">
        <f t="shared" si="330"/>
        <v>205</v>
      </c>
      <c r="AH329" t="str">
        <f t="shared" si="331"/>
        <v>（株）ムロコーポレーション</v>
      </c>
      <c r="AI329" t="str">
        <f>"176"</f>
        <v>176</v>
      </c>
      <c r="AJ329" t="str">
        <f>"S-SM-2-19"</f>
        <v>S-SM-2-19</v>
      </c>
      <c r="AK329" t="str">
        <f>"10221"</f>
        <v>10221</v>
      </c>
      <c r="AL329" t="str">
        <f t="shared" si="353"/>
        <v>0370</v>
      </c>
      <c r="AM329" t="str">
        <f t="shared" si="354"/>
        <v>ｼﾑ</v>
      </c>
      <c r="AN329" t="str">
        <f t="shared" si="332"/>
        <v>012</v>
      </c>
      <c r="AO329" t="str">
        <f t="shared" si="333"/>
        <v>TP-131 ﾊﾝﾖｳ</v>
      </c>
      <c r="AP329">
        <v>100</v>
      </c>
      <c r="AQ329" t="str">
        <f>""</f>
        <v/>
      </c>
      <c r="AR329" t="str">
        <f>""</f>
        <v/>
      </c>
      <c r="AS329" t="str">
        <f>""</f>
        <v/>
      </c>
      <c r="AT329" t="str">
        <f t="shared" si="334"/>
        <v>00</v>
      </c>
      <c r="AU329">
        <v>0.5</v>
      </c>
      <c r="AV329" t="str">
        <f>""</f>
        <v/>
      </c>
      <c r="AW329" t="str">
        <f t="shared" si="355"/>
        <v>06</v>
      </c>
      <c r="AX329" t="str">
        <f t="shared" si="356"/>
        <v>計画</v>
      </c>
      <c r="AY329" t="str">
        <f t="shared" si="357"/>
        <v>02</v>
      </c>
      <c r="AZ329" t="str">
        <f t="shared" si="358"/>
        <v>計画・２社</v>
      </c>
      <c r="BA329" t="str">
        <f>""</f>
        <v/>
      </c>
      <c r="BB329" t="str">
        <f t="shared" si="335"/>
        <v>ＴＰ１３１フタナシ</v>
      </c>
      <c r="BC329" t="str">
        <f t="shared" si="336"/>
        <v xml:space="preserve"> 335.000</v>
      </c>
      <c r="BD329" t="str">
        <f t="shared" si="337"/>
        <v xml:space="preserve"> 168.000</v>
      </c>
      <c r="BE329" t="str">
        <f t="shared" si="338"/>
        <v xml:space="preserve"> 103.000</v>
      </c>
      <c r="BF329" t="str">
        <f t="shared" si="339"/>
        <v xml:space="preserve">   0.006</v>
      </c>
      <c r="BG329" t="str">
        <f t="shared" ref="BG329:BG342" si="361">"   7.710"</f>
        <v xml:space="preserve">   7.710</v>
      </c>
      <c r="BH329" t="str">
        <f t="shared" si="324"/>
        <v>しない</v>
      </c>
      <c r="BI329" t="str">
        <f>""</f>
        <v/>
      </c>
      <c r="BJ329" t="str">
        <f t="shared" si="321"/>
        <v>MASTER01</v>
      </c>
      <c r="BK329" t="str">
        <f t="shared" si="327"/>
        <v>2022/04/19</v>
      </c>
      <c r="BL329" t="str">
        <f t="shared" si="350"/>
        <v>NE00</v>
      </c>
      <c r="BM329" t="str">
        <f t="shared" si="351"/>
        <v>１工工務Ｇ</v>
      </c>
      <c r="BN329" t="str">
        <f t="shared" si="359"/>
        <v>46548</v>
      </c>
      <c r="BO329" t="str">
        <f t="shared" si="360"/>
        <v>長畑　玲奈</v>
      </c>
    </row>
    <row r="330" spans="1:67">
      <c r="A330" t="s">
        <v>412</v>
      </c>
      <c r="B330" t="str">
        <f>""</f>
        <v/>
      </c>
      <c r="C330" t="str">
        <f>""</f>
        <v/>
      </c>
      <c r="D330" t="str">
        <f t="shared" si="352"/>
        <v>SHIM</v>
      </c>
      <c r="E330" t="str">
        <f t="shared" si="340"/>
        <v>1Y</v>
      </c>
      <c r="F330" t="str">
        <f t="shared" si="341"/>
        <v>第１工場</v>
      </c>
      <c r="G330" t="str">
        <f t="shared" si="342"/>
        <v>手配</v>
      </c>
      <c r="H330" t="str">
        <f t="shared" si="343"/>
        <v>Ｐ</v>
      </c>
      <c r="I330" t="str">
        <f t="shared" si="328"/>
        <v>6454</v>
      </c>
      <c r="J330" t="str">
        <f t="shared" si="329"/>
        <v>（株）ムロコーポレーション</v>
      </c>
      <c r="K330" t="str">
        <f t="shared" si="326"/>
        <v>01</v>
      </c>
      <c r="L330" t="str">
        <f>""</f>
        <v/>
      </c>
      <c r="M330" t="str">
        <f t="shared" si="325"/>
        <v>――</v>
      </c>
      <c r="N330" t="str">
        <f t="shared" si="325"/>
        <v>――</v>
      </c>
      <c r="O330" t="str">
        <f t="shared" si="344"/>
        <v>Ｍ</v>
      </c>
      <c r="P330" t="str">
        <f t="shared" si="345"/>
        <v>01</v>
      </c>
      <c r="Q330" t="str">
        <f t="shared" si="346"/>
        <v>第１</v>
      </c>
      <c r="R330" t="str">
        <f t="shared" si="347"/>
        <v>1Y</v>
      </c>
      <c r="S330" t="str">
        <f t="shared" si="348"/>
        <v>安城第１工場</v>
      </c>
      <c r="T330" t="str">
        <f t="shared" si="349"/>
        <v>直接</v>
      </c>
      <c r="U330" t="str">
        <f>""</f>
        <v/>
      </c>
      <c r="V330" t="str">
        <f>""</f>
        <v/>
      </c>
      <c r="W330" t="str">
        <f>""</f>
        <v/>
      </c>
      <c r="X330">
        <v>1</v>
      </c>
      <c r="Y330">
        <v>1</v>
      </c>
      <c r="Z330">
        <v>0.73</v>
      </c>
      <c r="AA330">
        <v>0.93</v>
      </c>
      <c r="AB330">
        <v>3</v>
      </c>
      <c r="AC330">
        <v>0.93</v>
      </c>
      <c r="AD330">
        <v>0.93</v>
      </c>
      <c r="AE330">
        <v>1.1000000000000001</v>
      </c>
      <c r="AF330">
        <v>0.5</v>
      </c>
      <c r="AG330" t="str">
        <f t="shared" si="330"/>
        <v>205</v>
      </c>
      <c r="AH330" t="str">
        <f t="shared" si="331"/>
        <v>（株）ムロコーポレーション</v>
      </c>
      <c r="AI330" t="str">
        <f>"177"</f>
        <v>177</v>
      </c>
      <c r="AJ330" t="str">
        <f>"S-SM-2-20"</f>
        <v>S-SM-2-20</v>
      </c>
      <c r="AK330" t="str">
        <f>"10222"</f>
        <v>10222</v>
      </c>
      <c r="AL330" t="str">
        <f t="shared" si="353"/>
        <v>0370</v>
      </c>
      <c r="AM330" t="str">
        <f t="shared" si="354"/>
        <v>ｼﾑ</v>
      </c>
      <c r="AN330" t="str">
        <f t="shared" si="332"/>
        <v>012</v>
      </c>
      <c r="AO330" t="str">
        <f t="shared" si="333"/>
        <v>TP-131 ﾊﾝﾖｳ</v>
      </c>
      <c r="AP330">
        <v>100</v>
      </c>
      <c r="AQ330" t="str">
        <f>""</f>
        <v/>
      </c>
      <c r="AR330" t="str">
        <f>""</f>
        <v/>
      </c>
      <c r="AS330" t="str">
        <f>""</f>
        <v/>
      </c>
      <c r="AT330" t="str">
        <f t="shared" si="334"/>
        <v>00</v>
      </c>
      <c r="AU330">
        <v>0.5</v>
      </c>
      <c r="AV330" t="str">
        <f>""</f>
        <v/>
      </c>
      <c r="AW330" t="str">
        <f t="shared" si="355"/>
        <v>06</v>
      </c>
      <c r="AX330" t="str">
        <f t="shared" si="356"/>
        <v>計画</v>
      </c>
      <c r="AY330" t="str">
        <f t="shared" si="357"/>
        <v>02</v>
      </c>
      <c r="AZ330" t="str">
        <f t="shared" si="358"/>
        <v>計画・２社</v>
      </c>
      <c r="BA330" t="str">
        <f>""</f>
        <v/>
      </c>
      <c r="BB330" t="str">
        <f t="shared" si="335"/>
        <v>ＴＰ１３１フタナシ</v>
      </c>
      <c r="BC330" t="str">
        <f t="shared" si="336"/>
        <v xml:space="preserve"> 335.000</v>
      </c>
      <c r="BD330" t="str">
        <f t="shared" si="337"/>
        <v xml:space="preserve"> 168.000</v>
      </c>
      <c r="BE330" t="str">
        <f t="shared" si="338"/>
        <v xml:space="preserve"> 103.000</v>
      </c>
      <c r="BF330" t="str">
        <f t="shared" si="339"/>
        <v xml:space="preserve">   0.006</v>
      </c>
      <c r="BG330" t="str">
        <f t="shared" si="361"/>
        <v xml:space="preserve">   7.710</v>
      </c>
      <c r="BH330" t="str">
        <f t="shared" si="324"/>
        <v>しない</v>
      </c>
      <c r="BI330" t="str">
        <f>""</f>
        <v/>
      </c>
      <c r="BJ330" t="str">
        <f t="shared" si="321"/>
        <v>MASTER01</v>
      </c>
      <c r="BK330" t="str">
        <f t="shared" si="327"/>
        <v>2022/04/19</v>
      </c>
      <c r="BL330" t="str">
        <f t="shared" si="350"/>
        <v>NE00</v>
      </c>
      <c r="BM330" t="str">
        <f t="shared" si="351"/>
        <v>１工工務Ｇ</v>
      </c>
      <c r="BN330" t="str">
        <f t="shared" si="359"/>
        <v>46548</v>
      </c>
      <c r="BO330" t="str">
        <f t="shared" si="360"/>
        <v>長畑　玲奈</v>
      </c>
    </row>
    <row r="331" spans="1:67">
      <c r="A331" t="s">
        <v>413</v>
      </c>
      <c r="B331" t="str">
        <f>""</f>
        <v/>
      </c>
      <c r="C331" t="str">
        <f>""</f>
        <v/>
      </c>
      <c r="D331" t="str">
        <f t="shared" si="352"/>
        <v>SHIM</v>
      </c>
      <c r="E331" t="str">
        <f t="shared" si="340"/>
        <v>1Y</v>
      </c>
      <c r="F331" t="str">
        <f t="shared" si="341"/>
        <v>第１工場</v>
      </c>
      <c r="G331" t="str">
        <f t="shared" si="342"/>
        <v>手配</v>
      </c>
      <c r="H331" t="str">
        <f t="shared" si="343"/>
        <v>Ｐ</v>
      </c>
      <c r="I331" t="str">
        <f t="shared" si="328"/>
        <v>6454</v>
      </c>
      <c r="J331" t="str">
        <f t="shared" si="329"/>
        <v>（株）ムロコーポレーション</v>
      </c>
      <c r="K331" t="str">
        <f t="shared" si="326"/>
        <v>01</v>
      </c>
      <c r="L331" t="str">
        <f>""</f>
        <v/>
      </c>
      <c r="M331" t="str">
        <f t="shared" si="325"/>
        <v>――</v>
      </c>
      <c r="N331" t="str">
        <f t="shared" si="325"/>
        <v>――</v>
      </c>
      <c r="O331" t="str">
        <f t="shared" si="344"/>
        <v>Ｍ</v>
      </c>
      <c r="P331" t="str">
        <f t="shared" si="345"/>
        <v>01</v>
      </c>
      <c r="Q331" t="str">
        <f t="shared" si="346"/>
        <v>第１</v>
      </c>
      <c r="R331" t="str">
        <f t="shared" si="347"/>
        <v>1Y</v>
      </c>
      <c r="S331" t="str">
        <f t="shared" si="348"/>
        <v>安城第１工場</v>
      </c>
      <c r="T331" t="str">
        <f t="shared" si="349"/>
        <v>直接</v>
      </c>
      <c r="U331" t="str">
        <f>""</f>
        <v/>
      </c>
      <c r="V331" t="str">
        <f>""</f>
        <v/>
      </c>
      <c r="W331" t="str">
        <f>""</f>
        <v/>
      </c>
      <c r="X331">
        <v>1</v>
      </c>
      <c r="Y331">
        <v>1</v>
      </c>
      <c r="Z331">
        <v>0.73</v>
      </c>
      <c r="AA331">
        <v>0.93</v>
      </c>
      <c r="AB331">
        <v>3</v>
      </c>
      <c r="AC331">
        <v>0.93</v>
      </c>
      <c r="AD331">
        <v>0.93</v>
      </c>
      <c r="AE331">
        <v>1.1000000000000001</v>
      </c>
      <c r="AF331">
        <v>0.5</v>
      </c>
      <c r="AG331" t="str">
        <f t="shared" si="330"/>
        <v>205</v>
      </c>
      <c r="AH331" t="str">
        <f t="shared" si="331"/>
        <v>（株）ムロコーポレーション</v>
      </c>
      <c r="AI331" t="str">
        <f>"178"</f>
        <v>178</v>
      </c>
      <c r="AJ331" t="str">
        <f>"S-SM-1-2"</f>
        <v>S-SM-1-2</v>
      </c>
      <c r="AK331" t="str">
        <f>"10223"</f>
        <v>10223</v>
      </c>
      <c r="AL331" t="str">
        <f t="shared" si="353"/>
        <v>0370</v>
      </c>
      <c r="AM331" t="str">
        <f t="shared" si="354"/>
        <v>ｼﾑ</v>
      </c>
      <c r="AN331" t="str">
        <f t="shared" si="332"/>
        <v>012</v>
      </c>
      <c r="AO331" t="str">
        <f t="shared" si="333"/>
        <v>TP-131 ﾊﾝﾖｳ</v>
      </c>
      <c r="AP331">
        <v>100</v>
      </c>
      <c r="AQ331" t="str">
        <f>""</f>
        <v/>
      </c>
      <c r="AR331" t="str">
        <f>""</f>
        <v/>
      </c>
      <c r="AS331" t="str">
        <f>""</f>
        <v/>
      </c>
      <c r="AT331" t="str">
        <f t="shared" si="334"/>
        <v>00</v>
      </c>
      <c r="AU331">
        <v>0.5</v>
      </c>
      <c r="AV331" t="str">
        <f>""</f>
        <v/>
      </c>
      <c r="AW331" t="str">
        <f t="shared" si="355"/>
        <v>06</v>
      </c>
      <c r="AX331" t="str">
        <f t="shared" si="356"/>
        <v>計画</v>
      </c>
      <c r="AY331" t="str">
        <f t="shared" si="357"/>
        <v>02</v>
      </c>
      <c r="AZ331" t="str">
        <f t="shared" si="358"/>
        <v>計画・２社</v>
      </c>
      <c r="BA331" t="str">
        <f>""</f>
        <v/>
      </c>
      <c r="BB331" t="str">
        <f t="shared" si="335"/>
        <v>ＴＰ１３１フタナシ</v>
      </c>
      <c r="BC331" t="str">
        <f t="shared" si="336"/>
        <v xml:space="preserve"> 335.000</v>
      </c>
      <c r="BD331" t="str">
        <f t="shared" si="337"/>
        <v xml:space="preserve"> 168.000</v>
      </c>
      <c r="BE331" t="str">
        <f t="shared" si="338"/>
        <v xml:space="preserve"> 103.000</v>
      </c>
      <c r="BF331" t="str">
        <f t="shared" si="339"/>
        <v xml:space="preserve">   0.006</v>
      </c>
      <c r="BG331" t="str">
        <f t="shared" si="361"/>
        <v xml:space="preserve">   7.710</v>
      </c>
      <c r="BH331" t="str">
        <f t="shared" si="324"/>
        <v>しない</v>
      </c>
      <c r="BI331" t="str">
        <f>""</f>
        <v/>
      </c>
      <c r="BJ331" t="str">
        <f t="shared" si="321"/>
        <v>MASTER01</v>
      </c>
      <c r="BK331" t="str">
        <f t="shared" si="327"/>
        <v>2022/04/19</v>
      </c>
      <c r="BL331" t="str">
        <f t="shared" si="350"/>
        <v>NE00</v>
      </c>
      <c r="BM331" t="str">
        <f t="shared" si="351"/>
        <v>１工工務Ｇ</v>
      </c>
      <c r="BN331" t="str">
        <f t="shared" si="359"/>
        <v>46548</v>
      </c>
      <c r="BO331" t="str">
        <f t="shared" si="360"/>
        <v>長畑　玲奈</v>
      </c>
    </row>
    <row r="332" spans="1:67">
      <c r="A332" t="s">
        <v>414</v>
      </c>
      <c r="B332" t="str">
        <f>""</f>
        <v/>
      </c>
      <c r="C332" t="str">
        <f>""</f>
        <v/>
      </c>
      <c r="D332" t="str">
        <f t="shared" si="352"/>
        <v>SHIM</v>
      </c>
      <c r="E332" t="str">
        <f t="shared" si="340"/>
        <v>1Y</v>
      </c>
      <c r="F332" t="str">
        <f t="shared" si="341"/>
        <v>第１工場</v>
      </c>
      <c r="G332" t="str">
        <f t="shared" si="342"/>
        <v>手配</v>
      </c>
      <c r="H332" t="str">
        <f t="shared" si="343"/>
        <v>Ｐ</v>
      </c>
      <c r="I332" t="str">
        <f t="shared" si="328"/>
        <v>6454</v>
      </c>
      <c r="J332" t="str">
        <f t="shared" si="329"/>
        <v>（株）ムロコーポレーション</v>
      </c>
      <c r="K332" t="str">
        <f t="shared" si="326"/>
        <v>01</v>
      </c>
      <c r="L332" t="str">
        <f>""</f>
        <v/>
      </c>
      <c r="M332" t="str">
        <f t="shared" si="325"/>
        <v>――</v>
      </c>
      <c r="N332" t="str">
        <f t="shared" si="325"/>
        <v>――</v>
      </c>
      <c r="O332" t="str">
        <f t="shared" si="344"/>
        <v>Ｍ</v>
      </c>
      <c r="P332" t="str">
        <f t="shared" si="345"/>
        <v>01</v>
      </c>
      <c r="Q332" t="str">
        <f t="shared" si="346"/>
        <v>第１</v>
      </c>
      <c r="R332" t="str">
        <f t="shared" si="347"/>
        <v>1Y</v>
      </c>
      <c r="S332" t="str">
        <f t="shared" si="348"/>
        <v>安城第１工場</v>
      </c>
      <c r="T332" t="str">
        <f t="shared" si="349"/>
        <v>直接</v>
      </c>
      <c r="U332" t="str">
        <f>""</f>
        <v/>
      </c>
      <c r="V332" t="str">
        <f>""</f>
        <v/>
      </c>
      <c r="W332" t="str">
        <f>""</f>
        <v/>
      </c>
      <c r="X332">
        <v>1</v>
      </c>
      <c r="Y332">
        <v>1</v>
      </c>
      <c r="Z332">
        <v>0.73</v>
      </c>
      <c r="AA332">
        <v>0.93</v>
      </c>
      <c r="AB332">
        <v>3</v>
      </c>
      <c r="AC332">
        <v>0.93</v>
      </c>
      <c r="AD332">
        <v>0.93</v>
      </c>
      <c r="AE332">
        <v>1.1000000000000001</v>
      </c>
      <c r="AF332">
        <v>0.5</v>
      </c>
      <c r="AG332" t="str">
        <f t="shared" si="330"/>
        <v>205</v>
      </c>
      <c r="AH332" t="str">
        <f t="shared" si="331"/>
        <v>（株）ムロコーポレーション</v>
      </c>
      <c r="AI332" t="str">
        <f>"179"</f>
        <v>179</v>
      </c>
      <c r="AJ332" t="str">
        <f>"S-SM-1-3"</f>
        <v>S-SM-1-3</v>
      </c>
      <c r="AK332" t="str">
        <f>"10224"</f>
        <v>10224</v>
      </c>
      <c r="AL332" t="str">
        <f t="shared" si="353"/>
        <v>0370</v>
      </c>
      <c r="AM332" t="str">
        <f t="shared" si="354"/>
        <v>ｼﾑ</v>
      </c>
      <c r="AN332" t="str">
        <f t="shared" si="332"/>
        <v>012</v>
      </c>
      <c r="AO332" t="str">
        <f t="shared" si="333"/>
        <v>TP-131 ﾊﾝﾖｳ</v>
      </c>
      <c r="AP332">
        <v>100</v>
      </c>
      <c r="AQ332" t="str">
        <f>""</f>
        <v/>
      </c>
      <c r="AR332" t="str">
        <f>""</f>
        <v/>
      </c>
      <c r="AS332" t="str">
        <f>""</f>
        <v/>
      </c>
      <c r="AT332" t="str">
        <f t="shared" si="334"/>
        <v>00</v>
      </c>
      <c r="AU332">
        <v>0.5</v>
      </c>
      <c r="AV332" t="str">
        <f>""</f>
        <v/>
      </c>
      <c r="AW332" t="str">
        <f t="shared" si="355"/>
        <v>06</v>
      </c>
      <c r="AX332" t="str">
        <f t="shared" si="356"/>
        <v>計画</v>
      </c>
      <c r="AY332" t="str">
        <f t="shared" si="357"/>
        <v>02</v>
      </c>
      <c r="AZ332" t="str">
        <f t="shared" si="358"/>
        <v>計画・２社</v>
      </c>
      <c r="BA332" t="str">
        <f>""</f>
        <v/>
      </c>
      <c r="BB332" t="str">
        <f t="shared" si="335"/>
        <v>ＴＰ１３１フタナシ</v>
      </c>
      <c r="BC332" t="str">
        <f t="shared" si="336"/>
        <v xml:space="preserve"> 335.000</v>
      </c>
      <c r="BD332" t="str">
        <f t="shared" si="337"/>
        <v xml:space="preserve"> 168.000</v>
      </c>
      <c r="BE332" t="str">
        <f t="shared" si="338"/>
        <v xml:space="preserve"> 103.000</v>
      </c>
      <c r="BF332" t="str">
        <f t="shared" si="339"/>
        <v xml:space="preserve">   0.006</v>
      </c>
      <c r="BG332" t="str">
        <f t="shared" si="361"/>
        <v xml:space="preserve">   7.710</v>
      </c>
      <c r="BH332" t="str">
        <f t="shared" si="324"/>
        <v>しない</v>
      </c>
      <c r="BI332" t="str">
        <f>""</f>
        <v/>
      </c>
      <c r="BJ332" t="str">
        <f t="shared" si="321"/>
        <v>MASTER01</v>
      </c>
      <c r="BK332" t="str">
        <f t="shared" si="327"/>
        <v>2022/04/19</v>
      </c>
      <c r="BL332" t="str">
        <f t="shared" si="350"/>
        <v>NE00</v>
      </c>
      <c r="BM332" t="str">
        <f t="shared" si="351"/>
        <v>１工工務Ｇ</v>
      </c>
      <c r="BN332" t="str">
        <f t="shared" si="359"/>
        <v>46548</v>
      </c>
      <c r="BO332" t="str">
        <f t="shared" si="360"/>
        <v>長畑　玲奈</v>
      </c>
    </row>
    <row r="333" spans="1:67">
      <c r="A333" t="s">
        <v>415</v>
      </c>
      <c r="B333" t="str">
        <f>""</f>
        <v/>
      </c>
      <c r="C333" t="str">
        <f>""</f>
        <v/>
      </c>
      <c r="D333" t="str">
        <f t="shared" si="352"/>
        <v>SHIM</v>
      </c>
      <c r="E333" t="str">
        <f t="shared" si="340"/>
        <v>1Y</v>
      </c>
      <c r="F333" t="str">
        <f t="shared" si="341"/>
        <v>第１工場</v>
      </c>
      <c r="G333" t="str">
        <f t="shared" si="342"/>
        <v>手配</v>
      </c>
      <c r="H333" t="str">
        <f t="shared" si="343"/>
        <v>Ｐ</v>
      </c>
      <c r="I333" t="str">
        <f t="shared" si="328"/>
        <v>6454</v>
      </c>
      <c r="J333" t="str">
        <f t="shared" si="329"/>
        <v>（株）ムロコーポレーション</v>
      </c>
      <c r="K333" t="str">
        <f t="shared" si="326"/>
        <v>01</v>
      </c>
      <c r="L333" t="str">
        <f>""</f>
        <v/>
      </c>
      <c r="M333" t="str">
        <f t="shared" si="325"/>
        <v>――</v>
      </c>
      <c r="N333" t="str">
        <f t="shared" si="325"/>
        <v>――</v>
      </c>
      <c r="O333" t="str">
        <f t="shared" si="344"/>
        <v>Ｍ</v>
      </c>
      <c r="P333" t="str">
        <f t="shared" si="345"/>
        <v>01</v>
      </c>
      <c r="Q333" t="str">
        <f t="shared" si="346"/>
        <v>第１</v>
      </c>
      <c r="R333" t="str">
        <f t="shared" si="347"/>
        <v>1Y</v>
      </c>
      <c r="S333" t="str">
        <f t="shared" si="348"/>
        <v>安城第１工場</v>
      </c>
      <c r="T333" t="str">
        <f t="shared" si="349"/>
        <v>直接</v>
      </c>
      <c r="U333" t="str">
        <f>""</f>
        <v/>
      </c>
      <c r="V333" t="str">
        <f>""</f>
        <v/>
      </c>
      <c r="W333" t="str">
        <f>""</f>
        <v/>
      </c>
      <c r="X333">
        <v>1</v>
      </c>
      <c r="Y333">
        <v>1</v>
      </c>
      <c r="Z333">
        <v>0.73</v>
      </c>
      <c r="AA333">
        <v>0.93</v>
      </c>
      <c r="AB333">
        <v>3</v>
      </c>
      <c r="AC333">
        <v>0.93</v>
      </c>
      <c r="AD333">
        <v>0.93</v>
      </c>
      <c r="AE333">
        <v>1.1000000000000001</v>
      </c>
      <c r="AF333">
        <v>0.5</v>
      </c>
      <c r="AG333" t="str">
        <f t="shared" si="330"/>
        <v>205</v>
      </c>
      <c r="AH333" t="str">
        <f t="shared" si="331"/>
        <v>（株）ムロコーポレーション</v>
      </c>
      <c r="AI333" t="str">
        <f>"180"</f>
        <v>180</v>
      </c>
      <c r="AJ333" t="str">
        <f>"S-SM-1-4"</f>
        <v>S-SM-1-4</v>
      </c>
      <c r="AK333" t="str">
        <f>"10225"</f>
        <v>10225</v>
      </c>
      <c r="AL333" t="str">
        <f t="shared" si="353"/>
        <v>0370</v>
      </c>
      <c r="AM333" t="str">
        <f t="shared" si="354"/>
        <v>ｼﾑ</v>
      </c>
      <c r="AN333" t="str">
        <f t="shared" si="332"/>
        <v>012</v>
      </c>
      <c r="AO333" t="str">
        <f t="shared" si="333"/>
        <v>TP-131 ﾊﾝﾖｳ</v>
      </c>
      <c r="AP333">
        <v>100</v>
      </c>
      <c r="AQ333" t="str">
        <f>""</f>
        <v/>
      </c>
      <c r="AR333" t="str">
        <f>""</f>
        <v/>
      </c>
      <c r="AS333" t="str">
        <f>""</f>
        <v/>
      </c>
      <c r="AT333" t="str">
        <f t="shared" si="334"/>
        <v>00</v>
      </c>
      <c r="AU333">
        <v>0.5</v>
      </c>
      <c r="AV333" t="str">
        <f>""</f>
        <v/>
      </c>
      <c r="AW333" t="str">
        <f t="shared" si="355"/>
        <v>06</v>
      </c>
      <c r="AX333" t="str">
        <f t="shared" si="356"/>
        <v>計画</v>
      </c>
      <c r="AY333" t="str">
        <f t="shared" si="357"/>
        <v>02</v>
      </c>
      <c r="AZ333" t="str">
        <f t="shared" si="358"/>
        <v>計画・２社</v>
      </c>
      <c r="BA333" t="str">
        <f>""</f>
        <v/>
      </c>
      <c r="BB333" t="str">
        <f t="shared" si="335"/>
        <v>ＴＰ１３１フタナシ</v>
      </c>
      <c r="BC333" t="str">
        <f t="shared" si="336"/>
        <v xml:space="preserve"> 335.000</v>
      </c>
      <c r="BD333" t="str">
        <f t="shared" si="337"/>
        <v xml:space="preserve"> 168.000</v>
      </c>
      <c r="BE333" t="str">
        <f t="shared" si="338"/>
        <v xml:space="preserve"> 103.000</v>
      </c>
      <c r="BF333" t="str">
        <f t="shared" si="339"/>
        <v xml:space="preserve">   0.006</v>
      </c>
      <c r="BG333" t="str">
        <f t="shared" si="361"/>
        <v xml:space="preserve">   7.710</v>
      </c>
      <c r="BH333" t="str">
        <f t="shared" si="324"/>
        <v>しない</v>
      </c>
      <c r="BI333" t="str">
        <f>""</f>
        <v/>
      </c>
      <c r="BJ333" t="str">
        <f t="shared" si="321"/>
        <v>MASTER01</v>
      </c>
      <c r="BK333" t="str">
        <f t="shared" si="327"/>
        <v>2022/04/19</v>
      </c>
      <c r="BL333" t="str">
        <f t="shared" si="350"/>
        <v>NE00</v>
      </c>
      <c r="BM333" t="str">
        <f t="shared" si="351"/>
        <v>１工工務Ｇ</v>
      </c>
      <c r="BN333" t="str">
        <f t="shared" si="359"/>
        <v>46548</v>
      </c>
      <c r="BO333" t="str">
        <f t="shared" si="360"/>
        <v>長畑　玲奈</v>
      </c>
    </row>
    <row r="334" spans="1:67">
      <c r="A334" t="s">
        <v>416</v>
      </c>
      <c r="B334" t="str">
        <f>""</f>
        <v/>
      </c>
      <c r="C334" t="str">
        <f>""</f>
        <v/>
      </c>
      <c r="D334" t="str">
        <f t="shared" si="352"/>
        <v>SHIM</v>
      </c>
      <c r="E334" t="str">
        <f t="shared" si="340"/>
        <v>1Y</v>
      </c>
      <c r="F334" t="str">
        <f t="shared" si="341"/>
        <v>第１工場</v>
      </c>
      <c r="G334" t="str">
        <f t="shared" si="342"/>
        <v>手配</v>
      </c>
      <c r="H334" t="str">
        <f t="shared" si="343"/>
        <v>Ｐ</v>
      </c>
      <c r="I334" t="str">
        <f t="shared" si="328"/>
        <v>6454</v>
      </c>
      <c r="J334" t="str">
        <f t="shared" si="329"/>
        <v>（株）ムロコーポレーション</v>
      </c>
      <c r="K334" t="str">
        <f t="shared" si="326"/>
        <v>01</v>
      </c>
      <c r="L334" t="str">
        <f>""</f>
        <v/>
      </c>
      <c r="M334" t="str">
        <f t="shared" si="325"/>
        <v>――</v>
      </c>
      <c r="N334" t="str">
        <f t="shared" si="325"/>
        <v>――</v>
      </c>
      <c r="O334" t="str">
        <f t="shared" si="344"/>
        <v>Ｍ</v>
      </c>
      <c r="P334" t="str">
        <f t="shared" si="345"/>
        <v>01</v>
      </c>
      <c r="Q334" t="str">
        <f t="shared" si="346"/>
        <v>第１</v>
      </c>
      <c r="R334" t="str">
        <f t="shared" si="347"/>
        <v>1Y</v>
      </c>
      <c r="S334" t="str">
        <f t="shared" si="348"/>
        <v>安城第１工場</v>
      </c>
      <c r="T334" t="str">
        <f t="shared" si="349"/>
        <v>直接</v>
      </c>
      <c r="U334" t="str">
        <f>""</f>
        <v/>
      </c>
      <c r="V334" t="str">
        <f>""</f>
        <v/>
      </c>
      <c r="W334" t="str">
        <f>""</f>
        <v/>
      </c>
      <c r="X334">
        <v>1</v>
      </c>
      <c r="Y334">
        <v>1</v>
      </c>
      <c r="Z334">
        <v>0.73</v>
      </c>
      <c r="AA334">
        <v>0.93</v>
      </c>
      <c r="AB334">
        <v>3</v>
      </c>
      <c r="AC334">
        <v>0.93</v>
      </c>
      <c r="AD334">
        <v>0.93</v>
      </c>
      <c r="AE334">
        <v>1.1000000000000001</v>
      </c>
      <c r="AF334">
        <v>0.5</v>
      </c>
      <c r="AG334" t="str">
        <f t="shared" si="330"/>
        <v>205</v>
      </c>
      <c r="AH334" t="str">
        <f t="shared" si="331"/>
        <v>（株）ムロコーポレーション</v>
      </c>
      <c r="AI334" t="str">
        <f>"181"</f>
        <v>181</v>
      </c>
      <c r="AJ334" t="str">
        <f>"S-SM-1-5"</f>
        <v>S-SM-1-5</v>
      </c>
      <c r="AK334" t="str">
        <f>"10226"</f>
        <v>10226</v>
      </c>
      <c r="AL334" t="str">
        <f t="shared" si="353"/>
        <v>0370</v>
      </c>
      <c r="AM334" t="str">
        <f t="shared" si="354"/>
        <v>ｼﾑ</v>
      </c>
      <c r="AN334" t="str">
        <f t="shared" si="332"/>
        <v>012</v>
      </c>
      <c r="AO334" t="str">
        <f t="shared" si="333"/>
        <v>TP-131 ﾊﾝﾖｳ</v>
      </c>
      <c r="AP334">
        <v>100</v>
      </c>
      <c r="AQ334" t="str">
        <f>""</f>
        <v/>
      </c>
      <c r="AR334" t="str">
        <f>""</f>
        <v/>
      </c>
      <c r="AS334" t="str">
        <f>""</f>
        <v/>
      </c>
      <c r="AT334" t="str">
        <f t="shared" si="334"/>
        <v>00</v>
      </c>
      <c r="AU334">
        <v>0.5</v>
      </c>
      <c r="AV334" t="str">
        <f>""</f>
        <v/>
      </c>
      <c r="AW334" t="str">
        <f t="shared" si="355"/>
        <v>06</v>
      </c>
      <c r="AX334" t="str">
        <f t="shared" si="356"/>
        <v>計画</v>
      </c>
      <c r="AY334" t="str">
        <f t="shared" si="357"/>
        <v>02</v>
      </c>
      <c r="AZ334" t="str">
        <f t="shared" si="358"/>
        <v>計画・２社</v>
      </c>
      <c r="BA334" t="str">
        <f>""</f>
        <v/>
      </c>
      <c r="BB334" t="str">
        <f t="shared" si="335"/>
        <v>ＴＰ１３１フタナシ</v>
      </c>
      <c r="BC334" t="str">
        <f t="shared" si="336"/>
        <v xml:space="preserve"> 335.000</v>
      </c>
      <c r="BD334" t="str">
        <f t="shared" si="337"/>
        <v xml:space="preserve"> 168.000</v>
      </c>
      <c r="BE334" t="str">
        <f t="shared" si="338"/>
        <v xml:space="preserve"> 103.000</v>
      </c>
      <c r="BF334" t="str">
        <f t="shared" si="339"/>
        <v xml:space="preserve">   0.006</v>
      </c>
      <c r="BG334" t="str">
        <f t="shared" si="361"/>
        <v xml:space="preserve">   7.710</v>
      </c>
      <c r="BH334" t="str">
        <f t="shared" si="324"/>
        <v>しない</v>
      </c>
      <c r="BI334" t="str">
        <f>""</f>
        <v/>
      </c>
      <c r="BJ334" t="str">
        <f t="shared" si="321"/>
        <v>MASTER01</v>
      </c>
      <c r="BK334" t="str">
        <f t="shared" si="327"/>
        <v>2022/04/19</v>
      </c>
      <c r="BL334" t="str">
        <f t="shared" si="350"/>
        <v>NE00</v>
      </c>
      <c r="BM334" t="str">
        <f t="shared" si="351"/>
        <v>１工工務Ｇ</v>
      </c>
      <c r="BN334" t="str">
        <f t="shared" si="359"/>
        <v>46548</v>
      </c>
      <c r="BO334" t="str">
        <f t="shared" si="360"/>
        <v>長畑　玲奈</v>
      </c>
    </row>
    <row r="335" spans="1:67">
      <c r="A335" t="s">
        <v>417</v>
      </c>
      <c r="B335" t="str">
        <f>""</f>
        <v/>
      </c>
      <c r="C335" t="str">
        <f>""</f>
        <v/>
      </c>
      <c r="D335" t="str">
        <f t="shared" si="352"/>
        <v>SHIM</v>
      </c>
      <c r="E335" t="str">
        <f t="shared" si="340"/>
        <v>1Y</v>
      </c>
      <c r="F335" t="str">
        <f t="shared" si="341"/>
        <v>第１工場</v>
      </c>
      <c r="G335" t="str">
        <f t="shared" si="342"/>
        <v>手配</v>
      </c>
      <c r="H335" t="str">
        <f t="shared" si="343"/>
        <v>Ｐ</v>
      </c>
      <c r="I335" t="str">
        <f t="shared" si="328"/>
        <v>6454</v>
      </c>
      <c r="J335" t="str">
        <f t="shared" si="329"/>
        <v>（株）ムロコーポレーション</v>
      </c>
      <c r="K335" t="str">
        <f t="shared" si="326"/>
        <v>01</v>
      </c>
      <c r="L335" t="str">
        <f>""</f>
        <v/>
      </c>
      <c r="M335" t="str">
        <f t="shared" si="325"/>
        <v>――</v>
      </c>
      <c r="N335" t="str">
        <f t="shared" si="325"/>
        <v>――</v>
      </c>
      <c r="O335" t="str">
        <f t="shared" si="344"/>
        <v>Ｍ</v>
      </c>
      <c r="P335" t="str">
        <f t="shared" si="345"/>
        <v>01</v>
      </c>
      <c r="Q335" t="str">
        <f t="shared" si="346"/>
        <v>第１</v>
      </c>
      <c r="R335" t="str">
        <f t="shared" si="347"/>
        <v>1Y</v>
      </c>
      <c r="S335" t="str">
        <f t="shared" si="348"/>
        <v>安城第１工場</v>
      </c>
      <c r="T335" t="str">
        <f t="shared" si="349"/>
        <v>直接</v>
      </c>
      <c r="U335" t="str">
        <f>""</f>
        <v/>
      </c>
      <c r="V335" t="str">
        <f>""</f>
        <v/>
      </c>
      <c r="W335" t="str">
        <f>""</f>
        <v/>
      </c>
      <c r="X335">
        <v>1</v>
      </c>
      <c r="Y335">
        <v>1</v>
      </c>
      <c r="Z335">
        <v>0.73</v>
      </c>
      <c r="AA335">
        <v>0.93</v>
      </c>
      <c r="AB335">
        <v>3</v>
      </c>
      <c r="AC335">
        <v>0.93</v>
      </c>
      <c r="AD335">
        <v>0.93</v>
      </c>
      <c r="AE335">
        <v>1.1000000000000001</v>
      </c>
      <c r="AF335">
        <v>0.5</v>
      </c>
      <c r="AG335" t="str">
        <f t="shared" si="330"/>
        <v>205</v>
      </c>
      <c r="AH335" t="str">
        <f t="shared" si="331"/>
        <v>（株）ムロコーポレーション</v>
      </c>
      <c r="AI335" t="str">
        <f>"182"</f>
        <v>182</v>
      </c>
      <c r="AJ335" t="str">
        <f>"S-SM-1-6"</f>
        <v>S-SM-1-6</v>
      </c>
      <c r="AK335" t="str">
        <f>"10227"</f>
        <v>10227</v>
      </c>
      <c r="AL335" t="str">
        <f t="shared" si="353"/>
        <v>0370</v>
      </c>
      <c r="AM335" t="str">
        <f t="shared" si="354"/>
        <v>ｼﾑ</v>
      </c>
      <c r="AN335" t="str">
        <f t="shared" si="332"/>
        <v>012</v>
      </c>
      <c r="AO335" t="str">
        <f t="shared" si="333"/>
        <v>TP-131 ﾊﾝﾖｳ</v>
      </c>
      <c r="AP335">
        <v>100</v>
      </c>
      <c r="AQ335" t="str">
        <f>""</f>
        <v/>
      </c>
      <c r="AR335" t="str">
        <f>""</f>
        <v/>
      </c>
      <c r="AS335" t="str">
        <f>""</f>
        <v/>
      </c>
      <c r="AT335" t="str">
        <f t="shared" si="334"/>
        <v>00</v>
      </c>
      <c r="AU335">
        <v>0.5</v>
      </c>
      <c r="AV335" t="str">
        <f>""</f>
        <v/>
      </c>
      <c r="AW335" t="str">
        <f t="shared" si="355"/>
        <v>06</v>
      </c>
      <c r="AX335" t="str">
        <f t="shared" si="356"/>
        <v>計画</v>
      </c>
      <c r="AY335" t="str">
        <f t="shared" si="357"/>
        <v>02</v>
      </c>
      <c r="AZ335" t="str">
        <f t="shared" si="358"/>
        <v>計画・２社</v>
      </c>
      <c r="BA335" t="str">
        <f>""</f>
        <v/>
      </c>
      <c r="BB335" t="str">
        <f t="shared" si="335"/>
        <v>ＴＰ１３１フタナシ</v>
      </c>
      <c r="BC335" t="str">
        <f t="shared" si="336"/>
        <v xml:space="preserve"> 335.000</v>
      </c>
      <c r="BD335" t="str">
        <f t="shared" si="337"/>
        <v xml:space="preserve"> 168.000</v>
      </c>
      <c r="BE335" t="str">
        <f t="shared" si="338"/>
        <v xml:space="preserve"> 103.000</v>
      </c>
      <c r="BF335" t="str">
        <f t="shared" si="339"/>
        <v xml:space="preserve">   0.006</v>
      </c>
      <c r="BG335" t="str">
        <f t="shared" si="361"/>
        <v xml:space="preserve">   7.710</v>
      </c>
      <c r="BH335" t="str">
        <f t="shared" si="324"/>
        <v>しない</v>
      </c>
      <c r="BI335" t="str">
        <f>""</f>
        <v/>
      </c>
      <c r="BJ335" t="str">
        <f t="shared" si="321"/>
        <v>MASTER01</v>
      </c>
      <c r="BK335" t="str">
        <f t="shared" si="327"/>
        <v>2022/04/19</v>
      </c>
      <c r="BL335" t="str">
        <f t="shared" si="350"/>
        <v>NE00</v>
      </c>
      <c r="BM335" t="str">
        <f t="shared" si="351"/>
        <v>１工工務Ｇ</v>
      </c>
      <c r="BN335" t="str">
        <f t="shared" si="359"/>
        <v>46548</v>
      </c>
      <c r="BO335" t="str">
        <f t="shared" si="360"/>
        <v>長畑　玲奈</v>
      </c>
    </row>
    <row r="336" spans="1:67">
      <c r="A336" t="s">
        <v>418</v>
      </c>
      <c r="B336" t="str">
        <f>""</f>
        <v/>
      </c>
      <c r="C336" t="str">
        <f>""</f>
        <v/>
      </c>
      <c r="D336" t="str">
        <f t="shared" si="352"/>
        <v>SHIM</v>
      </c>
      <c r="E336" t="str">
        <f t="shared" si="340"/>
        <v>1Y</v>
      </c>
      <c r="F336" t="str">
        <f t="shared" si="341"/>
        <v>第１工場</v>
      </c>
      <c r="G336" t="str">
        <f t="shared" si="342"/>
        <v>手配</v>
      </c>
      <c r="H336" t="str">
        <f t="shared" si="343"/>
        <v>Ｐ</v>
      </c>
      <c r="I336" t="str">
        <f t="shared" si="328"/>
        <v>6454</v>
      </c>
      <c r="J336" t="str">
        <f t="shared" si="329"/>
        <v>（株）ムロコーポレーション</v>
      </c>
      <c r="K336" t="str">
        <f t="shared" si="326"/>
        <v>01</v>
      </c>
      <c r="L336" t="str">
        <f>""</f>
        <v/>
      </c>
      <c r="M336" t="str">
        <f t="shared" si="325"/>
        <v>――</v>
      </c>
      <c r="N336" t="str">
        <f t="shared" si="325"/>
        <v>――</v>
      </c>
      <c r="O336" t="str">
        <f t="shared" si="344"/>
        <v>Ｍ</v>
      </c>
      <c r="P336" t="str">
        <f t="shared" si="345"/>
        <v>01</v>
      </c>
      <c r="Q336" t="str">
        <f t="shared" si="346"/>
        <v>第１</v>
      </c>
      <c r="R336" t="str">
        <f t="shared" si="347"/>
        <v>1Y</v>
      </c>
      <c r="S336" t="str">
        <f t="shared" si="348"/>
        <v>安城第１工場</v>
      </c>
      <c r="T336" t="str">
        <f t="shared" si="349"/>
        <v>直接</v>
      </c>
      <c r="U336" t="str">
        <f>""</f>
        <v/>
      </c>
      <c r="V336" t="str">
        <f>""</f>
        <v/>
      </c>
      <c r="W336" t="str">
        <f>""</f>
        <v/>
      </c>
      <c r="X336">
        <v>1</v>
      </c>
      <c r="Y336">
        <v>1</v>
      </c>
      <c r="Z336">
        <v>0.73</v>
      </c>
      <c r="AA336">
        <v>0.93</v>
      </c>
      <c r="AB336">
        <v>3</v>
      </c>
      <c r="AC336">
        <v>0.93</v>
      </c>
      <c r="AD336">
        <v>0.93</v>
      </c>
      <c r="AE336">
        <v>1.1000000000000001</v>
      </c>
      <c r="AF336">
        <v>0.5</v>
      </c>
      <c r="AG336" t="str">
        <f t="shared" si="330"/>
        <v>205</v>
      </c>
      <c r="AH336" t="str">
        <f t="shared" si="331"/>
        <v>（株）ムロコーポレーション</v>
      </c>
      <c r="AI336" t="str">
        <f>"183"</f>
        <v>183</v>
      </c>
      <c r="AJ336" t="str">
        <f>"S-SM-1-7"</f>
        <v>S-SM-1-7</v>
      </c>
      <c r="AK336" t="str">
        <f>"10228"</f>
        <v>10228</v>
      </c>
      <c r="AL336" t="str">
        <f t="shared" si="353"/>
        <v>0370</v>
      </c>
      <c r="AM336" t="str">
        <f t="shared" si="354"/>
        <v>ｼﾑ</v>
      </c>
      <c r="AN336" t="str">
        <f t="shared" si="332"/>
        <v>012</v>
      </c>
      <c r="AO336" t="str">
        <f t="shared" si="333"/>
        <v>TP-131 ﾊﾝﾖｳ</v>
      </c>
      <c r="AP336">
        <v>100</v>
      </c>
      <c r="AQ336" t="str">
        <f>""</f>
        <v/>
      </c>
      <c r="AR336" t="str">
        <f>""</f>
        <v/>
      </c>
      <c r="AS336" t="str">
        <f>""</f>
        <v/>
      </c>
      <c r="AT336" t="str">
        <f t="shared" si="334"/>
        <v>00</v>
      </c>
      <c r="AU336">
        <v>0.5</v>
      </c>
      <c r="AV336" t="str">
        <f>""</f>
        <v/>
      </c>
      <c r="AW336" t="str">
        <f t="shared" si="355"/>
        <v>06</v>
      </c>
      <c r="AX336" t="str">
        <f t="shared" si="356"/>
        <v>計画</v>
      </c>
      <c r="AY336" t="str">
        <f t="shared" si="357"/>
        <v>02</v>
      </c>
      <c r="AZ336" t="str">
        <f t="shared" si="358"/>
        <v>計画・２社</v>
      </c>
      <c r="BA336" t="str">
        <f>""</f>
        <v/>
      </c>
      <c r="BB336" t="str">
        <f t="shared" si="335"/>
        <v>ＴＰ１３１フタナシ</v>
      </c>
      <c r="BC336" t="str">
        <f t="shared" si="336"/>
        <v xml:space="preserve"> 335.000</v>
      </c>
      <c r="BD336" t="str">
        <f t="shared" si="337"/>
        <v xml:space="preserve"> 168.000</v>
      </c>
      <c r="BE336" t="str">
        <f t="shared" si="338"/>
        <v xml:space="preserve"> 103.000</v>
      </c>
      <c r="BF336" t="str">
        <f t="shared" si="339"/>
        <v xml:space="preserve">   0.006</v>
      </c>
      <c r="BG336" t="str">
        <f t="shared" si="361"/>
        <v xml:space="preserve">   7.710</v>
      </c>
      <c r="BH336" t="str">
        <f t="shared" si="324"/>
        <v>しない</v>
      </c>
      <c r="BI336" t="str">
        <f>""</f>
        <v/>
      </c>
      <c r="BJ336" t="str">
        <f t="shared" si="321"/>
        <v>MASTER01</v>
      </c>
      <c r="BK336" t="str">
        <f t="shared" si="327"/>
        <v>2022/04/19</v>
      </c>
      <c r="BL336" t="str">
        <f t="shared" si="350"/>
        <v>NE00</v>
      </c>
      <c r="BM336" t="str">
        <f t="shared" si="351"/>
        <v>１工工務Ｇ</v>
      </c>
      <c r="BN336" t="str">
        <f t="shared" si="359"/>
        <v>46548</v>
      </c>
      <c r="BO336" t="str">
        <f t="shared" si="360"/>
        <v>長畑　玲奈</v>
      </c>
    </row>
    <row r="337" spans="1:67">
      <c r="A337" t="s">
        <v>419</v>
      </c>
      <c r="B337" t="str">
        <f>""</f>
        <v/>
      </c>
      <c r="C337" t="str">
        <f>""</f>
        <v/>
      </c>
      <c r="D337" t="str">
        <f t="shared" si="352"/>
        <v>SHIM</v>
      </c>
      <c r="E337" t="str">
        <f t="shared" si="340"/>
        <v>1Y</v>
      </c>
      <c r="F337" t="str">
        <f t="shared" si="341"/>
        <v>第１工場</v>
      </c>
      <c r="G337" t="str">
        <f t="shared" si="342"/>
        <v>手配</v>
      </c>
      <c r="H337" t="str">
        <f t="shared" si="343"/>
        <v>Ｐ</v>
      </c>
      <c r="I337" t="str">
        <f t="shared" si="328"/>
        <v>6454</v>
      </c>
      <c r="J337" t="str">
        <f t="shared" si="329"/>
        <v>（株）ムロコーポレーション</v>
      </c>
      <c r="K337" t="str">
        <f t="shared" si="326"/>
        <v>01</v>
      </c>
      <c r="L337" t="str">
        <f>""</f>
        <v/>
      </c>
      <c r="M337" t="str">
        <f t="shared" si="325"/>
        <v>――</v>
      </c>
      <c r="N337" t="str">
        <f t="shared" si="325"/>
        <v>――</v>
      </c>
      <c r="O337" t="str">
        <f t="shared" si="344"/>
        <v>Ｍ</v>
      </c>
      <c r="P337" t="str">
        <f t="shared" si="345"/>
        <v>01</v>
      </c>
      <c r="Q337" t="str">
        <f t="shared" si="346"/>
        <v>第１</v>
      </c>
      <c r="R337" t="str">
        <f t="shared" si="347"/>
        <v>1Y</v>
      </c>
      <c r="S337" t="str">
        <f t="shared" si="348"/>
        <v>安城第１工場</v>
      </c>
      <c r="T337" t="str">
        <f t="shared" si="349"/>
        <v>直接</v>
      </c>
      <c r="U337" t="str">
        <f>""</f>
        <v/>
      </c>
      <c r="V337" t="str">
        <f>""</f>
        <v/>
      </c>
      <c r="W337" t="str">
        <f>""</f>
        <v/>
      </c>
      <c r="X337">
        <v>1</v>
      </c>
      <c r="Y337">
        <v>1</v>
      </c>
      <c r="Z337">
        <v>0.73</v>
      </c>
      <c r="AA337">
        <v>0.93</v>
      </c>
      <c r="AB337">
        <v>3</v>
      </c>
      <c r="AC337">
        <v>0.93</v>
      </c>
      <c r="AD337">
        <v>0.93</v>
      </c>
      <c r="AE337">
        <v>1.1000000000000001</v>
      </c>
      <c r="AF337">
        <v>0.5</v>
      </c>
      <c r="AG337" t="str">
        <f t="shared" si="330"/>
        <v>205</v>
      </c>
      <c r="AH337" t="str">
        <f t="shared" si="331"/>
        <v>（株）ムロコーポレーション</v>
      </c>
      <c r="AI337" t="str">
        <f>"184"</f>
        <v>184</v>
      </c>
      <c r="AJ337" t="str">
        <f>"S-SM-1-8"</f>
        <v>S-SM-1-8</v>
      </c>
      <c r="AK337" t="str">
        <f>"10229"</f>
        <v>10229</v>
      </c>
      <c r="AL337" t="str">
        <f t="shared" si="353"/>
        <v>0370</v>
      </c>
      <c r="AM337" t="str">
        <f t="shared" si="354"/>
        <v>ｼﾑ</v>
      </c>
      <c r="AN337" t="str">
        <f t="shared" si="332"/>
        <v>012</v>
      </c>
      <c r="AO337" t="str">
        <f t="shared" si="333"/>
        <v>TP-131 ﾊﾝﾖｳ</v>
      </c>
      <c r="AP337">
        <v>100</v>
      </c>
      <c r="AQ337" t="str">
        <f>""</f>
        <v/>
      </c>
      <c r="AR337" t="str">
        <f>""</f>
        <v/>
      </c>
      <c r="AS337" t="str">
        <f>""</f>
        <v/>
      </c>
      <c r="AT337" t="str">
        <f t="shared" si="334"/>
        <v>00</v>
      </c>
      <c r="AU337">
        <v>0.5</v>
      </c>
      <c r="AV337" t="str">
        <f>""</f>
        <v/>
      </c>
      <c r="AW337" t="str">
        <f t="shared" si="355"/>
        <v>06</v>
      </c>
      <c r="AX337" t="str">
        <f t="shared" si="356"/>
        <v>計画</v>
      </c>
      <c r="AY337" t="str">
        <f t="shared" si="357"/>
        <v>02</v>
      </c>
      <c r="AZ337" t="str">
        <f t="shared" si="358"/>
        <v>計画・２社</v>
      </c>
      <c r="BA337" t="str">
        <f>""</f>
        <v/>
      </c>
      <c r="BB337" t="str">
        <f t="shared" si="335"/>
        <v>ＴＰ１３１フタナシ</v>
      </c>
      <c r="BC337" t="str">
        <f t="shared" si="336"/>
        <v xml:space="preserve"> 335.000</v>
      </c>
      <c r="BD337" t="str">
        <f t="shared" si="337"/>
        <v xml:space="preserve"> 168.000</v>
      </c>
      <c r="BE337" t="str">
        <f t="shared" si="338"/>
        <v xml:space="preserve"> 103.000</v>
      </c>
      <c r="BF337" t="str">
        <f t="shared" si="339"/>
        <v xml:space="preserve">   0.006</v>
      </c>
      <c r="BG337" t="str">
        <f t="shared" si="361"/>
        <v xml:space="preserve">   7.710</v>
      </c>
      <c r="BH337" t="str">
        <f t="shared" si="324"/>
        <v>しない</v>
      </c>
      <c r="BI337" t="str">
        <f>""</f>
        <v/>
      </c>
      <c r="BJ337" t="str">
        <f t="shared" si="321"/>
        <v>MASTER01</v>
      </c>
      <c r="BK337" t="str">
        <f t="shared" si="327"/>
        <v>2022/04/19</v>
      </c>
      <c r="BL337" t="str">
        <f t="shared" si="350"/>
        <v>NE00</v>
      </c>
      <c r="BM337" t="str">
        <f t="shared" si="351"/>
        <v>１工工務Ｇ</v>
      </c>
      <c r="BN337" t="str">
        <f t="shared" si="359"/>
        <v>46548</v>
      </c>
      <c r="BO337" t="str">
        <f t="shared" si="360"/>
        <v>長畑　玲奈</v>
      </c>
    </row>
    <row r="338" spans="1:67">
      <c r="A338" t="s">
        <v>420</v>
      </c>
      <c r="B338" t="str">
        <f>""</f>
        <v/>
      </c>
      <c r="C338" t="str">
        <f>""</f>
        <v/>
      </c>
      <c r="D338" t="str">
        <f t="shared" si="352"/>
        <v>SHIM</v>
      </c>
      <c r="E338" t="str">
        <f t="shared" si="340"/>
        <v>1Y</v>
      </c>
      <c r="F338" t="str">
        <f t="shared" si="341"/>
        <v>第１工場</v>
      </c>
      <c r="G338" t="str">
        <f t="shared" si="342"/>
        <v>手配</v>
      </c>
      <c r="H338" t="str">
        <f t="shared" si="343"/>
        <v>Ｐ</v>
      </c>
      <c r="I338" t="str">
        <f t="shared" si="328"/>
        <v>6454</v>
      </c>
      <c r="J338" t="str">
        <f t="shared" si="329"/>
        <v>（株）ムロコーポレーション</v>
      </c>
      <c r="K338" t="str">
        <f t="shared" si="326"/>
        <v>01</v>
      </c>
      <c r="L338" t="str">
        <f>""</f>
        <v/>
      </c>
      <c r="M338" t="str">
        <f t="shared" si="325"/>
        <v>――</v>
      </c>
      <c r="N338" t="str">
        <f t="shared" si="325"/>
        <v>――</v>
      </c>
      <c r="O338" t="str">
        <f t="shared" si="344"/>
        <v>Ｍ</v>
      </c>
      <c r="P338" t="str">
        <f t="shared" si="345"/>
        <v>01</v>
      </c>
      <c r="Q338" t="str">
        <f t="shared" si="346"/>
        <v>第１</v>
      </c>
      <c r="R338" t="str">
        <f t="shared" si="347"/>
        <v>1Y</v>
      </c>
      <c r="S338" t="str">
        <f t="shared" si="348"/>
        <v>安城第１工場</v>
      </c>
      <c r="T338" t="str">
        <f t="shared" si="349"/>
        <v>直接</v>
      </c>
      <c r="U338" t="str">
        <f>""</f>
        <v/>
      </c>
      <c r="V338" t="str">
        <f>""</f>
        <v/>
      </c>
      <c r="W338" t="str">
        <f>""</f>
        <v/>
      </c>
      <c r="X338">
        <v>1</v>
      </c>
      <c r="Y338">
        <v>1</v>
      </c>
      <c r="Z338">
        <v>0.73</v>
      </c>
      <c r="AA338">
        <v>0.93</v>
      </c>
      <c r="AB338">
        <v>3</v>
      </c>
      <c r="AC338">
        <v>0.93</v>
      </c>
      <c r="AD338">
        <v>0.93</v>
      </c>
      <c r="AE338">
        <v>1.1000000000000001</v>
      </c>
      <c r="AF338">
        <v>0.5</v>
      </c>
      <c r="AG338" t="str">
        <f t="shared" si="330"/>
        <v>205</v>
      </c>
      <c r="AH338" t="str">
        <f t="shared" si="331"/>
        <v>（株）ムロコーポレーション</v>
      </c>
      <c r="AI338" t="str">
        <f>"185"</f>
        <v>185</v>
      </c>
      <c r="AJ338" t="str">
        <f>"S-SM-1-9"</f>
        <v>S-SM-1-9</v>
      </c>
      <c r="AK338" t="str">
        <f>"10230"</f>
        <v>10230</v>
      </c>
      <c r="AL338" t="str">
        <f t="shared" si="353"/>
        <v>0370</v>
      </c>
      <c r="AM338" t="str">
        <f t="shared" si="354"/>
        <v>ｼﾑ</v>
      </c>
      <c r="AN338" t="str">
        <f t="shared" si="332"/>
        <v>012</v>
      </c>
      <c r="AO338" t="str">
        <f t="shared" si="333"/>
        <v>TP-131 ﾊﾝﾖｳ</v>
      </c>
      <c r="AP338">
        <v>100</v>
      </c>
      <c r="AQ338" t="str">
        <f>""</f>
        <v/>
      </c>
      <c r="AR338" t="str">
        <f>""</f>
        <v/>
      </c>
      <c r="AS338" t="str">
        <f>""</f>
        <v/>
      </c>
      <c r="AT338" t="str">
        <f t="shared" si="334"/>
        <v>00</v>
      </c>
      <c r="AU338">
        <v>0.5</v>
      </c>
      <c r="AV338" t="str">
        <f>""</f>
        <v/>
      </c>
      <c r="AW338" t="str">
        <f t="shared" si="355"/>
        <v>06</v>
      </c>
      <c r="AX338" t="str">
        <f t="shared" si="356"/>
        <v>計画</v>
      </c>
      <c r="AY338" t="str">
        <f t="shared" si="357"/>
        <v>02</v>
      </c>
      <c r="AZ338" t="str">
        <f t="shared" si="358"/>
        <v>計画・２社</v>
      </c>
      <c r="BA338" t="str">
        <f>""</f>
        <v/>
      </c>
      <c r="BB338" t="str">
        <f t="shared" si="335"/>
        <v>ＴＰ１３１フタナシ</v>
      </c>
      <c r="BC338" t="str">
        <f t="shared" si="336"/>
        <v xml:space="preserve"> 335.000</v>
      </c>
      <c r="BD338" t="str">
        <f t="shared" si="337"/>
        <v xml:space="preserve"> 168.000</v>
      </c>
      <c r="BE338" t="str">
        <f t="shared" si="338"/>
        <v xml:space="preserve"> 103.000</v>
      </c>
      <c r="BF338" t="str">
        <f t="shared" si="339"/>
        <v xml:space="preserve">   0.006</v>
      </c>
      <c r="BG338" t="str">
        <f t="shared" si="361"/>
        <v xml:space="preserve">   7.710</v>
      </c>
      <c r="BH338" t="str">
        <f t="shared" si="324"/>
        <v>しない</v>
      </c>
      <c r="BI338" t="str">
        <f>""</f>
        <v/>
      </c>
      <c r="BJ338" t="str">
        <f t="shared" si="321"/>
        <v>MASTER01</v>
      </c>
      <c r="BK338" t="str">
        <f t="shared" si="327"/>
        <v>2022/04/19</v>
      </c>
      <c r="BL338" t="str">
        <f t="shared" si="350"/>
        <v>NE00</v>
      </c>
      <c r="BM338" t="str">
        <f t="shared" si="351"/>
        <v>１工工務Ｇ</v>
      </c>
      <c r="BN338" t="str">
        <f t="shared" si="359"/>
        <v>46548</v>
      </c>
      <c r="BO338" t="str">
        <f t="shared" si="360"/>
        <v>長畑　玲奈</v>
      </c>
    </row>
    <row r="339" spans="1:67">
      <c r="A339" t="s">
        <v>421</v>
      </c>
      <c r="B339" t="str">
        <f>""</f>
        <v/>
      </c>
      <c r="C339" t="str">
        <f>""</f>
        <v/>
      </c>
      <c r="D339" t="str">
        <f t="shared" si="352"/>
        <v>SHIM</v>
      </c>
      <c r="E339" t="str">
        <f t="shared" si="340"/>
        <v>1Y</v>
      </c>
      <c r="F339" t="str">
        <f t="shared" si="341"/>
        <v>第１工場</v>
      </c>
      <c r="G339" t="str">
        <f t="shared" si="342"/>
        <v>手配</v>
      </c>
      <c r="H339" t="str">
        <f t="shared" si="343"/>
        <v>Ｐ</v>
      </c>
      <c r="I339" t="str">
        <f t="shared" si="328"/>
        <v>6454</v>
      </c>
      <c r="J339" t="str">
        <f t="shared" si="329"/>
        <v>（株）ムロコーポレーション</v>
      </c>
      <c r="K339" t="str">
        <f t="shared" si="326"/>
        <v>01</v>
      </c>
      <c r="L339" t="str">
        <f>""</f>
        <v/>
      </c>
      <c r="M339" t="str">
        <f t="shared" si="325"/>
        <v>――</v>
      </c>
      <c r="N339" t="str">
        <f t="shared" si="325"/>
        <v>――</v>
      </c>
      <c r="O339" t="str">
        <f t="shared" si="344"/>
        <v>Ｍ</v>
      </c>
      <c r="P339" t="str">
        <f t="shared" si="345"/>
        <v>01</v>
      </c>
      <c r="Q339" t="str">
        <f t="shared" si="346"/>
        <v>第１</v>
      </c>
      <c r="R339" t="str">
        <f t="shared" si="347"/>
        <v>1Y</v>
      </c>
      <c r="S339" t="str">
        <f t="shared" si="348"/>
        <v>安城第１工場</v>
      </c>
      <c r="T339" t="str">
        <f t="shared" si="349"/>
        <v>直接</v>
      </c>
      <c r="U339" t="str">
        <f>""</f>
        <v/>
      </c>
      <c r="V339" t="str">
        <f>""</f>
        <v/>
      </c>
      <c r="W339" t="str">
        <f>""</f>
        <v/>
      </c>
      <c r="X339">
        <v>1</v>
      </c>
      <c r="Y339">
        <v>1</v>
      </c>
      <c r="Z339">
        <v>0.73</v>
      </c>
      <c r="AA339">
        <v>0.93</v>
      </c>
      <c r="AB339">
        <v>3</v>
      </c>
      <c r="AC339">
        <v>0.93</v>
      </c>
      <c r="AD339">
        <v>0.93</v>
      </c>
      <c r="AE339">
        <v>1.1000000000000001</v>
      </c>
      <c r="AF339">
        <v>0.5</v>
      </c>
      <c r="AG339" t="str">
        <f t="shared" si="330"/>
        <v>205</v>
      </c>
      <c r="AH339" t="str">
        <f t="shared" si="331"/>
        <v>（株）ムロコーポレーション</v>
      </c>
      <c r="AI339" t="str">
        <f>"186"</f>
        <v>186</v>
      </c>
      <c r="AJ339" t="str">
        <f>"S-SM-1-10"</f>
        <v>S-SM-1-10</v>
      </c>
      <c r="AK339" t="str">
        <f>"10231"</f>
        <v>10231</v>
      </c>
      <c r="AL339" t="str">
        <f t="shared" si="353"/>
        <v>0370</v>
      </c>
      <c r="AM339" t="str">
        <f t="shared" si="354"/>
        <v>ｼﾑ</v>
      </c>
      <c r="AN339" t="str">
        <f t="shared" si="332"/>
        <v>012</v>
      </c>
      <c r="AO339" t="str">
        <f t="shared" si="333"/>
        <v>TP-131 ﾊﾝﾖｳ</v>
      </c>
      <c r="AP339">
        <v>100</v>
      </c>
      <c r="AQ339" t="str">
        <f>""</f>
        <v/>
      </c>
      <c r="AR339" t="str">
        <f>""</f>
        <v/>
      </c>
      <c r="AS339" t="str">
        <f>""</f>
        <v/>
      </c>
      <c r="AT339" t="str">
        <f t="shared" si="334"/>
        <v>00</v>
      </c>
      <c r="AU339">
        <v>0.5</v>
      </c>
      <c r="AV339" t="str">
        <f>""</f>
        <v/>
      </c>
      <c r="AW339" t="str">
        <f t="shared" si="355"/>
        <v>06</v>
      </c>
      <c r="AX339" t="str">
        <f t="shared" si="356"/>
        <v>計画</v>
      </c>
      <c r="AY339" t="str">
        <f t="shared" si="357"/>
        <v>02</v>
      </c>
      <c r="AZ339" t="str">
        <f t="shared" si="358"/>
        <v>計画・２社</v>
      </c>
      <c r="BA339" t="str">
        <f>""</f>
        <v/>
      </c>
      <c r="BB339" t="str">
        <f t="shared" si="335"/>
        <v>ＴＰ１３１フタナシ</v>
      </c>
      <c r="BC339" t="str">
        <f t="shared" si="336"/>
        <v xml:space="preserve"> 335.000</v>
      </c>
      <c r="BD339" t="str">
        <f t="shared" si="337"/>
        <v xml:space="preserve"> 168.000</v>
      </c>
      <c r="BE339" t="str">
        <f t="shared" si="338"/>
        <v xml:space="preserve"> 103.000</v>
      </c>
      <c r="BF339" t="str">
        <f t="shared" si="339"/>
        <v xml:space="preserve">   0.006</v>
      </c>
      <c r="BG339" t="str">
        <f t="shared" si="361"/>
        <v xml:space="preserve">   7.710</v>
      </c>
      <c r="BH339" t="str">
        <f t="shared" si="324"/>
        <v>しない</v>
      </c>
      <c r="BI339" t="str">
        <f>""</f>
        <v/>
      </c>
      <c r="BJ339" t="str">
        <f t="shared" ref="BJ339:BJ402" si="362">"MASTER01"</f>
        <v>MASTER01</v>
      </c>
      <c r="BK339" t="str">
        <f t="shared" si="327"/>
        <v>2022/04/19</v>
      </c>
      <c r="BL339" t="str">
        <f t="shared" si="350"/>
        <v>NE00</v>
      </c>
      <c r="BM339" t="str">
        <f t="shared" si="351"/>
        <v>１工工務Ｇ</v>
      </c>
      <c r="BN339" t="str">
        <f t="shared" si="359"/>
        <v>46548</v>
      </c>
      <c r="BO339" t="str">
        <f t="shared" si="360"/>
        <v>長畑　玲奈</v>
      </c>
    </row>
    <row r="340" spans="1:67">
      <c r="A340" t="s">
        <v>422</v>
      </c>
      <c r="B340" t="str">
        <f>""</f>
        <v/>
      </c>
      <c r="C340" t="str">
        <f>""</f>
        <v/>
      </c>
      <c r="D340" t="str">
        <f t="shared" si="352"/>
        <v>SHIM</v>
      </c>
      <c r="E340" t="str">
        <f t="shared" si="340"/>
        <v>1Y</v>
      </c>
      <c r="F340" t="str">
        <f t="shared" si="341"/>
        <v>第１工場</v>
      </c>
      <c r="G340" t="str">
        <f t="shared" si="342"/>
        <v>手配</v>
      </c>
      <c r="H340" t="str">
        <f t="shared" si="343"/>
        <v>Ｐ</v>
      </c>
      <c r="I340" t="str">
        <f t="shared" si="328"/>
        <v>6454</v>
      </c>
      <c r="J340" t="str">
        <f t="shared" si="329"/>
        <v>（株）ムロコーポレーション</v>
      </c>
      <c r="K340" t="str">
        <f t="shared" si="326"/>
        <v>01</v>
      </c>
      <c r="L340" t="str">
        <f>""</f>
        <v/>
      </c>
      <c r="M340" t="str">
        <f t="shared" si="325"/>
        <v>――</v>
      </c>
      <c r="N340" t="str">
        <f t="shared" si="325"/>
        <v>――</v>
      </c>
      <c r="O340" t="str">
        <f t="shared" si="344"/>
        <v>Ｍ</v>
      </c>
      <c r="P340" t="str">
        <f t="shared" si="345"/>
        <v>01</v>
      </c>
      <c r="Q340" t="str">
        <f t="shared" si="346"/>
        <v>第１</v>
      </c>
      <c r="R340" t="str">
        <f t="shared" si="347"/>
        <v>1Y</v>
      </c>
      <c r="S340" t="str">
        <f t="shared" si="348"/>
        <v>安城第１工場</v>
      </c>
      <c r="T340" t="str">
        <f t="shared" si="349"/>
        <v>直接</v>
      </c>
      <c r="U340" t="str">
        <f>""</f>
        <v/>
      </c>
      <c r="V340" t="str">
        <f>""</f>
        <v/>
      </c>
      <c r="W340" t="str">
        <f>""</f>
        <v/>
      </c>
      <c r="X340">
        <v>1</v>
      </c>
      <c r="Y340">
        <v>1</v>
      </c>
      <c r="Z340">
        <v>0.73</v>
      </c>
      <c r="AA340">
        <v>0.93</v>
      </c>
      <c r="AB340">
        <v>3</v>
      </c>
      <c r="AC340">
        <v>0.93</v>
      </c>
      <c r="AD340">
        <v>0.93</v>
      </c>
      <c r="AE340">
        <v>1.1000000000000001</v>
      </c>
      <c r="AF340">
        <v>0.5</v>
      </c>
      <c r="AG340" t="str">
        <f t="shared" si="330"/>
        <v>205</v>
      </c>
      <c r="AH340" t="str">
        <f t="shared" si="331"/>
        <v>（株）ムロコーポレーション</v>
      </c>
      <c r="AI340" t="str">
        <f>"187"</f>
        <v>187</v>
      </c>
      <c r="AJ340" t="str">
        <f>"S-SM-2-21"</f>
        <v>S-SM-2-21</v>
      </c>
      <c r="AK340" t="str">
        <f>"10232"</f>
        <v>10232</v>
      </c>
      <c r="AL340" t="str">
        <f t="shared" si="353"/>
        <v>0370</v>
      </c>
      <c r="AM340" t="str">
        <f t="shared" si="354"/>
        <v>ｼﾑ</v>
      </c>
      <c r="AN340" t="str">
        <f t="shared" si="332"/>
        <v>012</v>
      </c>
      <c r="AO340" t="str">
        <f t="shared" si="333"/>
        <v>TP-131 ﾊﾝﾖｳ</v>
      </c>
      <c r="AP340">
        <v>100</v>
      </c>
      <c r="AQ340" t="str">
        <f>""</f>
        <v/>
      </c>
      <c r="AR340" t="str">
        <f>""</f>
        <v/>
      </c>
      <c r="AS340" t="str">
        <f>""</f>
        <v/>
      </c>
      <c r="AT340" t="str">
        <f t="shared" si="334"/>
        <v>00</v>
      </c>
      <c r="AU340">
        <v>0.5</v>
      </c>
      <c r="AV340" t="str">
        <f>""</f>
        <v/>
      </c>
      <c r="AW340" t="str">
        <f t="shared" si="355"/>
        <v>06</v>
      </c>
      <c r="AX340" t="str">
        <f t="shared" si="356"/>
        <v>計画</v>
      </c>
      <c r="AY340" t="str">
        <f t="shared" si="357"/>
        <v>02</v>
      </c>
      <c r="AZ340" t="str">
        <f t="shared" si="358"/>
        <v>計画・２社</v>
      </c>
      <c r="BA340" t="str">
        <f>""</f>
        <v/>
      </c>
      <c r="BB340" t="str">
        <f t="shared" si="335"/>
        <v>ＴＰ１３１フタナシ</v>
      </c>
      <c r="BC340" t="str">
        <f t="shared" si="336"/>
        <v xml:space="preserve"> 335.000</v>
      </c>
      <c r="BD340" t="str">
        <f t="shared" si="337"/>
        <v xml:space="preserve"> 168.000</v>
      </c>
      <c r="BE340" t="str">
        <f t="shared" si="338"/>
        <v xml:space="preserve"> 103.000</v>
      </c>
      <c r="BF340" t="str">
        <f t="shared" si="339"/>
        <v xml:space="preserve">   0.006</v>
      </c>
      <c r="BG340" t="str">
        <f t="shared" si="361"/>
        <v xml:space="preserve">   7.710</v>
      </c>
      <c r="BH340" t="str">
        <f t="shared" si="324"/>
        <v>しない</v>
      </c>
      <c r="BI340" t="str">
        <f>""</f>
        <v/>
      </c>
      <c r="BJ340" t="str">
        <f t="shared" si="362"/>
        <v>MASTER01</v>
      </c>
      <c r="BK340" t="str">
        <f t="shared" si="327"/>
        <v>2022/04/19</v>
      </c>
      <c r="BL340" t="str">
        <f t="shared" si="350"/>
        <v>NE00</v>
      </c>
      <c r="BM340" t="str">
        <f t="shared" si="351"/>
        <v>１工工務Ｇ</v>
      </c>
      <c r="BN340" t="str">
        <f t="shared" si="359"/>
        <v>46548</v>
      </c>
      <c r="BO340" t="str">
        <f t="shared" si="360"/>
        <v>長畑　玲奈</v>
      </c>
    </row>
    <row r="341" spans="1:67">
      <c r="A341" t="s">
        <v>423</v>
      </c>
      <c r="B341" t="str">
        <f>""</f>
        <v/>
      </c>
      <c r="C341" t="str">
        <f>""</f>
        <v/>
      </c>
      <c r="D341" t="str">
        <f t="shared" si="352"/>
        <v>SHIM</v>
      </c>
      <c r="E341" t="str">
        <f t="shared" si="340"/>
        <v>1Y</v>
      </c>
      <c r="F341" t="str">
        <f t="shared" si="341"/>
        <v>第１工場</v>
      </c>
      <c r="G341" t="str">
        <f t="shared" si="342"/>
        <v>手配</v>
      </c>
      <c r="H341" t="str">
        <f t="shared" si="343"/>
        <v>Ｐ</v>
      </c>
      <c r="I341" t="str">
        <f t="shared" si="328"/>
        <v>6454</v>
      </c>
      <c r="J341" t="str">
        <f t="shared" si="329"/>
        <v>（株）ムロコーポレーション</v>
      </c>
      <c r="K341" t="str">
        <f t="shared" si="326"/>
        <v>01</v>
      </c>
      <c r="L341" t="str">
        <f>""</f>
        <v/>
      </c>
      <c r="M341" t="str">
        <f t="shared" si="325"/>
        <v>――</v>
      </c>
      <c r="N341" t="str">
        <f t="shared" si="325"/>
        <v>――</v>
      </c>
      <c r="O341" t="str">
        <f t="shared" si="344"/>
        <v>Ｍ</v>
      </c>
      <c r="P341" t="str">
        <f t="shared" si="345"/>
        <v>01</v>
      </c>
      <c r="Q341" t="str">
        <f t="shared" si="346"/>
        <v>第１</v>
      </c>
      <c r="R341" t="str">
        <f t="shared" si="347"/>
        <v>1Y</v>
      </c>
      <c r="S341" t="str">
        <f t="shared" si="348"/>
        <v>安城第１工場</v>
      </c>
      <c r="T341" t="str">
        <f t="shared" si="349"/>
        <v>直接</v>
      </c>
      <c r="U341" t="str">
        <f>""</f>
        <v/>
      </c>
      <c r="V341" t="str">
        <f>""</f>
        <v/>
      </c>
      <c r="W341" t="str">
        <f>""</f>
        <v/>
      </c>
      <c r="X341">
        <v>1</v>
      </c>
      <c r="Y341">
        <v>1</v>
      </c>
      <c r="Z341">
        <v>0.73</v>
      </c>
      <c r="AA341">
        <v>0.93</v>
      </c>
      <c r="AB341">
        <v>3</v>
      </c>
      <c r="AC341">
        <v>0.93</v>
      </c>
      <c r="AD341">
        <v>0.93</v>
      </c>
      <c r="AE341">
        <v>1.1000000000000001</v>
      </c>
      <c r="AF341">
        <v>0.5</v>
      </c>
      <c r="AG341" t="str">
        <f t="shared" si="330"/>
        <v>205</v>
      </c>
      <c r="AH341" t="str">
        <f t="shared" si="331"/>
        <v>（株）ムロコーポレーション</v>
      </c>
      <c r="AI341" t="str">
        <f>"188"</f>
        <v>188</v>
      </c>
      <c r="AJ341" t="str">
        <f>"S-SM-2-22"</f>
        <v>S-SM-2-22</v>
      </c>
      <c r="AK341" t="str">
        <f>"10233"</f>
        <v>10233</v>
      </c>
      <c r="AL341" t="str">
        <f t="shared" si="353"/>
        <v>0370</v>
      </c>
      <c r="AM341" t="str">
        <f t="shared" si="354"/>
        <v>ｼﾑ</v>
      </c>
      <c r="AN341" t="str">
        <f t="shared" si="332"/>
        <v>012</v>
      </c>
      <c r="AO341" t="str">
        <f t="shared" si="333"/>
        <v>TP-131 ﾊﾝﾖｳ</v>
      </c>
      <c r="AP341">
        <v>100</v>
      </c>
      <c r="AQ341" t="str">
        <f>""</f>
        <v/>
      </c>
      <c r="AR341" t="str">
        <f>""</f>
        <v/>
      </c>
      <c r="AS341" t="str">
        <f>""</f>
        <v/>
      </c>
      <c r="AT341" t="str">
        <f t="shared" si="334"/>
        <v>00</v>
      </c>
      <c r="AU341">
        <v>0.5</v>
      </c>
      <c r="AV341" t="str">
        <f>""</f>
        <v/>
      </c>
      <c r="AW341" t="str">
        <f t="shared" si="355"/>
        <v>06</v>
      </c>
      <c r="AX341" t="str">
        <f t="shared" si="356"/>
        <v>計画</v>
      </c>
      <c r="AY341" t="str">
        <f t="shared" si="357"/>
        <v>02</v>
      </c>
      <c r="AZ341" t="str">
        <f t="shared" si="358"/>
        <v>計画・２社</v>
      </c>
      <c r="BA341" t="str">
        <f>""</f>
        <v/>
      </c>
      <c r="BB341" t="str">
        <f t="shared" si="335"/>
        <v>ＴＰ１３１フタナシ</v>
      </c>
      <c r="BC341" t="str">
        <f t="shared" si="336"/>
        <v xml:space="preserve"> 335.000</v>
      </c>
      <c r="BD341" t="str">
        <f t="shared" si="337"/>
        <v xml:space="preserve"> 168.000</v>
      </c>
      <c r="BE341" t="str">
        <f t="shared" si="338"/>
        <v xml:space="preserve"> 103.000</v>
      </c>
      <c r="BF341" t="str">
        <f t="shared" si="339"/>
        <v xml:space="preserve">   0.006</v>
      </c>
      <c r="BG341" t="str">
        <f t="shared" si="361"/>
        <v xml:space="preserve">   7.710</v>
      </c>
      <c r="BH341" t="str">
        <f t="shared" si="324"/>
        <v>しない</v>
      </c>
      <c r="BI341" t="str">
        <f>""</f>
        <v/>
      </c>
      <c r="BJ341" t="str">
        <f t="shared" si="362"/>
        <v>MASTER01</v>
      </c>
      <c r="BK341" t="str">
        <f t="shared" si="327"/>
        <v>2022/04/19</v>
      </c>
      <c r="BL341" t="str">
        <f t="shared" si="350"/>
        <v>NE00</v>
      </c>
      <c r="BM341" t="str">
        <f t="shared" si="351"/>
        <v>１工工務Ｇ</v>
      </c>
      <c r="BN341" t="str">
        <f t="shared" si="359"/>
        <v>46548</v>
      </c>
      <c r="BO341" t="str">
        <f t="shared" si="360"/>
        <v>長畑　玲奈</v>
      </c>
    </row>
    <row r="342" spans="1:67">
      <c r="A342" t="s">
        <v>424</v>
      </c>
      <c r="B342" t="str">
        <f>""</f>
        <v/>
      </c>
      <c r="C342" t="str">
        <f>""</f>
        <v/>
      </c>
      <c r="D342" t="str">
        <f t="shared" si="352"/>
        <v>SHIM</v>
      </c>
      <c r="E342" t="str">
        <f t="shared" si="340"/>
        <v>1Y</v>
      </c>
      <c r="F342" t="str">
        <f t="shared" si="341"/>
        <v>第１工場</v>
      </c>
      <c r="G342" t="str">
        <f t="shared" si="342"/>
        <v>手配</v>
      </c>
      <c r="H342" t="str">
        <f t="shared" si="343"/>
        <v>Ｐ</v>
      </c>
      <c r="I342" t="str">
        <f t="shared" si="328"/>
        <v>6454</v>
      </c>
      <c r="J342" t="str">
        <f t="shared" si="329"/>
        <v>（株）ムロコーポレーション</v>
      </c>
      <c r="K342" t="str">
        <f t="shared" si="326"/>
        <v>01</v>
      </c>
      <c r="L342" t="str">
        <f>""</f>
        <v/>
      </c>
      <c r="M342" t="str">
        <f t="shared" si="325"/>
        <v>――</v>
      </c>
      <c r="N342" t="str">
        <f t="shared" si="325"/>
        <v>――</v>
      </c>
      <c r="O342" t="str">
        <f t="shared" si="344"/>
        <v>Ｍ</v>
      </c>
      <c r="P342" t="str">
        <f t="shared" si="345"/>
        <v>01</v>
      </c>
      <c r="Q342" t="str">
        <f t="shared" si="346"/>
        <v>第１</v>
      </c>
      <c r="R342" t="str">
        <f t="shared" si="347"/>
        <v>1Y</v>
      </c>
      <c r="S342" t="str">
        <f t="shared" si="348"/>
        <v>安城第１工場</v>
      </c>
      <c r="T342" t="str">
        <f t="shared" si="349"/>
        <v>直接</v>
      </c>
      <c r="U342" t="str">
        <f>""</f>
        <v/>
      </c>
      <c r="V342" t="str">
        <f>""</f>
        <v/>
      </c>
      <c r="W342" t="str">
        <f>""</f>
        <v/>
      </c>
      <c r="X342">
        <v>1</v>
      </c>
      <c r="Y342">
        <v>1</v>
      </c>
      <c r="Z342">
        <v>0.73</v>
      </c>
      <c r="AA342">
        <v>0.93</v>
      </c>
      <c r="AB342">
        <v>3</v>
      </c>
      <c r="AC342">
        <v>0.93</v>
      </c>
      <c r="AD342">
        <v>0.93</v>
      </c>
      <c r="AE342">
        <v>1.1000000000000001</v>
      </c>
      <c r="AF342">
        <v>0.5</v>
      </c>
      <c r="AG342" t="str">
        <f t="shared" si="330"/>
        <v>205</v>
      </c>
      <c r="AH342" t="str">
        <f t="shared" si="331"/>
        <v>（株）ムロコーポレーション</v>
      </c>
      <c r="AI342" t="str">
        <f>"189"</f>
        <v>189</v>
      </c>
      <c r="AJ342" t="str">
        <f>"S-SM-2-23"</f>
        <v>S-SM-2-23</v>
      </c>
      <c r="AK342" t="str">
        <f>"10234"</f>
        <v>10234</v>
      </c>
      <c r="AL342" t="str">
        <f t="shared" si="353"/>
        <v>0370</v>
      </c>
      <c r="AM342" t="str">
        <f t="shared" si="354"/>
        <v>ｼﾑ</v>
      </c>
      <c r="AN342" t="str">
        <f t="shared" si="332"/>
        <v>012</v>
      </c>
      <c r="AO342" t="str">
        <f t="shared" si="333"/>
        <v>TP-131 ﾊﾝﾖｳ</v>
      </c>
      <c r="AP342">
        <v>100</v>
      </c>
      <c r="AQ342" t="str">
        <f>""</f>
        <v/>
      </c>
      <c r="AR342" t="str">
        <f>""</f>
        <v/>
      </c>
      <c r="AS342" t="str">
        <f>""</f>
        <v/>
      </c>
      <c r="AT342" t="str">
        <f t="shared" si="334"/>
        <v>00</v>
      </c>
      <c r="AU342">
        <v>0.5</v>
      </c>
      <c r="AV342" t="str">
        <f>""</f>
        <v/>
      </c>
      <c r="AW342" t="str">
        <f t="shared" si="355"/>
        <v>06</v>
      </c>
      <c r="AX342" t="str">
        <f t="shared" si="356"/>
        <v>計画</v>
      </c>
      <c r="AY342" t="str">
        <f t="shared" si="357"/>
        <v>02</v>
      </c>
      <c r="AZ342" t="str">
        <f t="shared" si="358"/>
        <v>計画・２社</v>
      </c>
      <c r="BA342" t="str">
        <f>""</f>
        <v/>
      </c>
      <c r="BB342" t="str">
        <f t="shared" si="335"/>
        <v>ＴＰ１３１フタナシ</v>
      </c>
      <c r="BC342" t="str">
        <f t="shared" si="336"/>
        <v xml:space="preserve"> 335.000</v>
      </c>
      <c r="BD342" t="str">
        <f t="shared" si="337"/>
        <v xml:space="preserve"> 168.000</v>
      </c>
      <c r="BE342" t="str">
        <f t="shared" si="338"/>
        <v xml:space="preserve"> 103.000</v>
      </c>
      <c r="BF342" t="str">
        <f t="shared" si="339"/>
        <v xml:space="preserve">   0.006</v>
      </c>
      <c r="BG342" t="str">
        <f t="shared" si="361"/>
        <v xml:space="preserve">   7.710</v>
      </c>
      <c r="BH342" t="str">
        <f t="shared" si="324"/>
        <v>しない</v>
      </c>
      <c r="BI342" t="str">
        <f>""</f>
        <v/>
      </c>
      <c r="BJ342" t="str">
        <f t="shared" si="362"/>
        <v>MASTER01</v>
      </c>
      <c r="BK342" t="str">
        <f t="shared" si="327"/>
        <v>2022/04/19</v>
      </c>
      <c r="BL342" t="str">
        <f t="shared" si="350"/>
        <v>NE00</v>
      </c>
      <c r="BM342" t="str">
        <f t="shared" si="351"/>
        <v>１工工務Ｇ</v>
      </c>
      <c r="BN342" t="str">
        <f t="shared" si="359"/>
        <v>46548</v>
      </c>
      <c r="BO342" t="str">
        <f t="shared" si="360"/>
        <v>長畑　玲奈</v>
      </c>
    </row>
    <row r="343" spans="1:67">
      <c r="A343" t="s">
        <v>425</v>
      </c>
      <c r="B343" t="str">
        <f>""</f>
        <v/>
      </c>
      <c r="C343" t="str">
        <f>""</f>
        <v/>
      </c>
      <c r="D343" t="str">
        <f t="shared" si="352"/>
        <v>SHIM</v>
      </c>
      <c r="E343" t="str">
        <f t="shared" si="340"/>
        <v>1Y</v>
      </c>
      <c r="F343" t="str">
        <f t="shared" si="341"/>
        <v>第１工場</v>
      </c>
      <c r="G343" t="str">
        <f t="shared" si="342"/>
        <v>手配</v>
      </c>
      <c r="H343" t="str">
        <f t="shared" si="343"/>
        <v>Ｐ</v>
      </c>
      <c r="I343" t="str">
        <f t="shared" si="328"/>
        <v>6454</v>
      </c>
      <c r="J343" t="str">
        <f t="shared" si="329"/>
        <v>（株）ムロコーポレーション</v>
      </c>
      <c r="K343" t="str">
        <f t="shared" si="326"/>
        <v>01</v>
      </c>
      <c r="L343" t="str">
        <f>""</f>
        <v/>
      </c>
      <c r="M343" t="str">
        <f t="shared" si="325"/>
        <v>――</v>
      </c>
      <c r="N343" t="str">
        <f t="shared" si="325"/>
        <v>――</v>
      </c>
      <c r="O343" t="str">
        <f t="shared" si="344"/>
        <v>Ｍ</v>
      </c>
      <c r="P343" t="str">
        <f t="shared" si="345"/>
        <v>01</v>
      </c>
      <c r="Q343" t="str">
        <f t="shared" si="346"/>
        <v>第１</v>
      </c>
      <c r="R343" t="str">
        <f t="shared" si="347"/>
        <v>1Y</v>
      </c>
      <c r="S343" t="str">
        <f t="shared" si="348"/>
        <v>安城第１工場</v>
      </c>
      <c r="T343" t="str">
        <f t="shared" si="349"/>
        <v>直接</v>
      </c>
      <c r="U343" t="str">
        <f>""</f>
        <v/>
      </c>
      <c r="V343" t="str">
        <f>""</f>
        <v/>
      </c>
      <c r="W343" t="str">
        <f>""</f>
        <v/>
      </c>
      <c r="X343">
        <v>1</v>
      </c>
      <c r="Y343">
        <v>1</v>
      </c>
      <c r="Z343">
        <v>0.73</v>
      </c>
      <c r="AA343">
        <v>0.93</v>
      </c>
      <c r="AB343">
        <v>3</v>
      </c>
      <c r="AC343">
        <v>0.93</v>
      </c>
      <c r="AD343">
        <v>0.93</v>
      </c>
      <c r="AE343">
        <v>1.1000000000000001</v>
      </c>
      <c r="AF343">
        <v>0.5</v>
      </c>
      <c r="AG343" t="str">
        <f t="shared" si="330"/>
        <v>205</v>
      </c>
      <c r="AH343" t="str">
        <f t="shared" si="331"/>
        <v>（株）ムロコーポレーション</v>
      </c>
      <c r="AI343" t="str">
        <f>"190"</f>
        <v>190</v>
      </c>
      <c r="AJ343" t="str">
        <f>"S-SM-2-24"</f>
        <v>S-SM-2-24</v>
      </c>
      <c r="AK343" t="str">
        <f>"10235"</f>
        <v>10235</v>
      </c>
      <c r="AL343" t="str">
        <f t="shared" si="353"/>
        <v>0370</v>
      </c>
      <c r="AM343" t="str">
        <f t="shared" si="354"/>
        <v>ｼﾑ</v>
      </c>
      <c r="AN343" t="str">
        <f t="shared" si="332"/>
        <v>012</v>
      </c>
      <c r="AO343" t="str">
        <f t="shared" si="333"/>
        <v>TP-131 ﾊﾝﾖｳ</v>
      </c>
      <c r="AP343">
        <v>100</v>
      </c>
      <c r="AQ343" t="str">
        <f>""</f>
        <v/>
      </c>
      <c r="AR343" t="str">
        <f>""</f>
        <v/>
      </c>
      <c r="AS343" t="str">
        <f>""</f>
        <v/>
      </c>
      <c r="AT343" t="str">
        <f t="shared" si="334"/>
        <v>00</v>
      </c>
      <c r="AU343">
        <v>0.5</v>
      </c>
      <c r="AV343" t="str">
        <f>""</f>
        <v/>
      </c>
      <c r="AW343" t="str">
        <f t="shared" si="355"/>
        <v>06</v>
      </c>
      <c r="AX343" t="str">
        <f t="shared" si="356"/>
        <v>計画</v>
      </c>
      <c r="AY343" t="str">
        <f t="shared" si="357"/>
        <v>02</v>
      </c>
      <c r="AZ343" t="str">
        <f t="shared" si="358"/>
        <v>計画・２社</v>
      </c>
      <c r="BA343" t="str">
        <f>""</f>
        <v/>
      </c>
      <c r="BB343" t="str">
        <f t="shared" si="335"/>
        <v>ＴＰ１３１フタナシ</v>
      </c>
      <c r="BC343" t="str">
        <f t="shared" si="336"/>
        <v xml:space="preserve"> 335.000</v>
      </c>
      <c r="BD343" t="str">
        <f t="shared" si="337"/>
        <v xml:space="preserve"> 168.000</v>
      </c>
      <c r="BE343" t="str">
        <f t="shared" si="338"/>
        <v xml:space="preserve"> 103.000</v>
      </c>
      <c r="BF343" t="str">
        <f t="shared" si="339"/>
        <v xml:space="preserve">   0.006</v>
      </c>
      <c r="BG343" t="str">
        <f t="shared" ref="BG343:BG359" si="363">"   6.500"</f>
        <v xml:space="preserve">   6.500</v>
      </c>
      <c r="BH343" t="str">
        <f t="shared" si="324"/>
        <v>しない</v>
      </c>
      <c r="BI343" t="str">
        <f>""</f>
        <v/>
      </c>
      <c r="BJ343" t="str">
        <f t="shared" si="362"/>
        <v>MASTER01</v>
      </c>
      <c r="BK343" t="str">
        <f t="shared" si="327"/>
        <v>2022/04/19</v>
      </c>
      <c r="BL343" t="str">
        <f t="shared" si="350"/>
        <v>NE00</v>
      </c>
      <c r="BM343" t="str">
        <f t="shared" si="351"/>
        <v>１工工務Ｇ</v>
      </c>
      <c r="BN343" t="str">
        <f t="shared" si="359"/>
        <v>46548</v>
      </c>
      <c r="BO343" t="str">
        <f t="shared" si="360"/>
        <v>長畑　玲奈</v>
      </c>
    </row>
    <row r="344" spans="1:67">
      <c r="A344" t="s">
        <v>426</v>
      </c>
      <c r="B344" t="str">
        <f>""</f>
        <v/>
      </c>
      <c r="C344" t="str">
        <f>""</f>
        <v/>
      </c>
      <c r="D344" t="str">
        <f t="shared" si="352"/>
        <v>SHIM</v>
      </c>
      <c r="E344" t="str">
        <f t="shared" si="340"/>
        <v>1Y</v>
      </c>
      <c r="F344" t="str">
        <f t="shared" si="341"/>
        <v>第１工場</v>
      </c>
      <c r="G344" t="str">
        <f t="shared" si="342"/>
        <v>手配</v>
      </c>
      <c r="H344" t="str">
        <f t="shared" si="343"/>
        <v>Ｐ</v>
      </c>
      <c r="I344" t="str">
        <f t="shared" si="328"/>
        <v>6454</v>
      </c>
      <c r="J344" t="str">
        <f t="shared" si="329"/>
        <v>（株）ムロコーポレーション</v>
      </c>
      <c r="K344" t="str">
        <f t="shared" si="326"/>
        <v>01</v>
      </c>
      <c r="L344" t="str">
        <f>""</f>
        <v/>
      </c>
      <c r="M344" t="str">
        <f t="shared" si="325"/>
        <v>――</v>
      </c>
      <c r="N344" t="str">
        <f t="shared" si="325"/>
        <v>――</v>
      </c>
      <c r="O344" t="str">
        <f t="shared" si="344"/>
        <v>Ｍ</v>
      </c>
      <c r="P344" t="str">
        <f t="shared" si="345"/>
        <v>01</v>
      </c>
      <c r="Q344" t="str">
        <f t="shared" si="346"/>
        <v>第１</v>
      </c>
      <c r="R344" t="str">
        <f t="shared" si="347"/>
        <v>1Y</v>
      </c>
      <c r="S344" t="str">
        <f t="shared" si="348"/>
        <v>安城第１工場</v>
      </c>
      <c r="T344" t="str">
        <f t="shared" si="349"/>
        <v>直接</v>
      </c>
      <c r="U344" t="str">
        <f>""</f>
        <v/>
      </c>
      <c r="V344" t="str">
        <f>""</f>
        <v/>
      </c>
      <c r="W344" t="str">
        <f>""</f>
        <v/>
      </c>
      <c r="X344">
        <v>1</v>
      </c>
      <c r="Y344">
        <v>1</v>
      </c>
      <c r="Z344">
        <v>0.73</v>
      </c>
      <c r="AA344">
        <v>0.93</v>
      </c>
      <c r="AB344">
        <v>3</v>
      </c>
      <c r="AC344">
        <v>0.93</v>
      </c>
      <c r="AD344">
        <v>0.93</v>
      </c>
      <c r="AE344">
        <v>1.1000000000000001</v>
      </c>
      <c r="AF344">
        <v>0.5</v>
      </c>
      <c r="AG344" t="str">
        <f t="shared" si="330"/>
        <v>205</v>
      </c>
      <c r="AH344" t="str">
        <f t="shared" si="331"/>
        <v>（株）ムロコーポレーション</v>
      </c>
      <c r="AI344" t="str">
        <f>"191"</f>
        <v>191</v>
      </c>
      <c r="AJ344" t="str">
        <f>"S-SM-2-25"</f>
        <v>S-SM-2-25</v>
      </c>
      <c r="AK344" t="str">
        <f>"10236"</f>
        <v>10236</v>
      </c>
      <c r="AL344" t="str">
        <f t="shared" si="353"/>
        <v>0370</v>
      </c>
      <c r="AM344" t="str">
        <f t="shared" si="354"/>
        <v>ｼﾑ</v>
      </c>
      <c r="AN344" t="str">
        <f t="shared" si="332"/>
        <v>012</v>
      </c>
      <c r="AO344" t="str">
        <f t="shared" si="333"/>
        <v>TP-131 ﾊﾝﾖｳ</v>
      </c>
      <c r="AP344">
        <v>100</v>
      </c>
      <c r="AQ344" t="str">
        <f>""</f>
        <v/>
      </c>
      <c r="AR344" t="str">
        <f>""</f>
        <v/>
      </c>
      <c r="AS344" t="str">
        <f>""</f>
        <v/>
      </c>
      <c r="AT344" t="str">
        <f t="shared" si="334"/>
        <v>00</v>
      </c>
      <c r="AU344">
        <v>0.5</v>
      </c>
      <c r="AV344" t="str">
        <f>""</f>
        <v/>
      </c>
      <c r="AW344" t="str">
        <f t="shared" si="355"/>
        <v>06</v>
      </c>
      <c r="AX344" t="str">
        <f t="shared" si="356"/>
        <v>計画</v>
      </c>
      <c r="AY344" t="str">
        <f t="shared" si="357"/>
        <v>02</v>
      </c>
      <c r="AZ344" t="str">
        <f t="shared" si="358"/>
        <v>計画・２社</v>
      </c>
      <c r="BA344" t="str">
        <f>""</f>
        <v/>
      </c>
      <c r="BB344" t="str">
        <f t="shared" si="335"/>
        <v>ＴＰ１３１フタナシ</v>
      </c>
      <c r="BC344" t="str">
        <f t="shared" si="336"/>
        <v xml:space="preserve"> 335.000</v>
      </c>
      <c r="BD344" t="str">
        <f t="shared" si="337"/>
        <v xml:space="preserve"> 168.000</v>
      </c>
      <c r="BE344" t="str">
        <f t="shared" si="338"/>
        <v xml:space="preserve"> 103.000</v>
      </c>
      <c r="BF344" t="str">
        <f t="shared" si="339"/>
        <v xml:space="preserve">   0.006</v>
      </c>
      <c r="BG344" t="str">
        <f t="shared" si="363"/>
        <v xml:space="preserve">   6.500</v>
      </c>
      <c r="BH344" t="str">
        <f t="shared" si="324"/>
        <v>しない</v>
      </c>
      <c r="BI344" t="str">
        <f>""</f>
        <v/>
      </c>
      <c r="BJ344" t="str">
        <f t="shared" si="362"/>
        <v>MASTER01</v>
      </c>
      <c r="BK344" t="str">
        <f t="shared" si="327"/>
        <v>2022/04/19</v>
      </c>
      <c r="BL344" t="str">
        <f t="shared" si="350"/>
        <v>NE00</v>
      </c>
      <c r="BM344" t="str">
        <f t="shared" si="351"/>
        <v>１工工務Ｇ</v>
      </c>
      <c r="BN344" t="str">
        <f t="shared" si="359"/>
        <v>46548</v>
      </c>
      <c r="BO344" t="str">
        <f t="shared" si="360"/>
        <v>長畑　玲奈</v>
      </c>
    </row>
    <row r="345" spans="1:67">
      <c r="A345" t="s">
        <v>427</v>
      </c>
      <c r="B345" t="str">
        <f>""</f>
        <v/>
      </c>
      <c r="C345" t="str">
        <f>""</f>
        <v/>
      </c>
      <c r="D345" t="str">
        <f t="shared" si="352"/>
        <v>SHIM</v>
      </c>
      <c r="E345" t="str">
        <f t="shared" si="340"/>
        <v>1Y</v>
      </c>
      <c r="F345" t="str">
        <f t="shared" si="341"/>
        <v>第１工場</v>
      </c>
      <c r="G345" t="str">
        <f t="shared" si="342"/>
        <v>手配</v>
      </c>
      <c r="H345" t="str">
        <f t="shared" si="343"/>
        <v>Ｐ</v>
      </c>
      <c r="I345" t="str">
        <f t="shared" si="328"/>
        <v>6454</v>
      </c>
      <c r="J345" t="str">
        <f t="shared" si="329"/>
        <v>（株）ムロコーポレーション</v>
      </c>
      <c r="K345" t="str">
        <f t="shared" si="326"/>
        <v>01</v>
      </c>
      <c r="L345" t="str">
        <f>""</f>
        <v/>
      </c>
      <c r="M345" t="str">
        <f t="shared" si="325"/>
        <v>――</v>
      </c>
      <c r="N345" t="str">
        <f t="shared" si="325"/>
        <v>――</v>
      </c>
      <c r="O345" t="str">
        <f t="shared" si="344"/>
        <v>Ｍ</v>
      </c>
      <c r="P345" t="str">
        <f t="shared" si="345"/>
        <v>01</v>
      </c>
      <c r="Q345" t="str">
        <f t="shared" si="346"/>
        <v>第１</v>
      </c>
      <c r="R345" t="str">
        <f t="shared" si="347"/>
        <v>1Y</v>
      </c>
      <c r="S345" t="str">
        <f t="shared" si="348"/>
        <v>安城第１工場</v>
      </c>
      <c r="T345" t="str">
        <f t="shared" si="349"/>
        <v>直接</v>
      </c>
      <c r="U345" t="str">
        <f>""</f>
        <v/>
      </c>
      <c r="V345" t="str">
        <f>""</f>
        <v/>
      </c>
      <c r="W345" t="str">
        <f>""</f>
        <v/>
      </c>
      <c r="X345">
        <v>1</v>
      </c>
      <c r="Y345">
        <v>1</v>
      </c>
      <c r="Z345">
        <v>0.73</v>
      </c>
      <c r="AA345">
        <v>0.93</v>
      </c>
      <c r="AB345">
        <v>3</v>
      </c>
      <c r="AC345">
        <v>0.93</v>
      </c>
      <c r="AD345">
        <v>0.93</v>
      </c>
      <c r="AE345">
        <v>1.1000000000000001</v>
      </c>
      <c r="AF345">
        <v>0.5</v>
      </c>
      <c r="AG345" t="str">
        <f t="shared" si="330"/>
        <v>205</v>
      </c>
      <c r="AH345" t="str">
        <f t="shared" si="331"/>
        <v>（株）ムロコーポレーション</v>
      </c>
      <c r="AI345" t="str">
        <f>"192"</f>
        <v>192</v>
      </c>
      <c r="AJ345" t="str">
        <f>"S-SM-2-26"</f>
        <v>S-SM-2-26</v>
      </c>
      <c r="AK345" t="str">
        <f>"10237"</f>
        <v>10237</v>
      </c>
      <c r="AL345" t="str">
        <f t="shared" si="353"/>
        <v>0370</v>
      </c>
      <c r="AM345" t="str">
        <f t="shared" si="354"/>
        <v>ｼﾑ</v>
      </c>
      <c r="AN345" t="str">
        <f t="shared" si="332"/>
        <v>012</v>
      </c>
      <c r="AO345" t="str">
        <f t="shared" si="333"/>
        <v>TP-131 ﾊﾝﾖｳ</v>
      </c>
      <c r="AP345">
        <v>100</v>
      </c>
      <c r="AQ345" t="str">
        <f>""</f>
        <v/>
      </c>
      <c r="AR345" t="str">
        <f>""</f>
        <v/>
      </c>
      <c r="AS345" t="str">
        <f>""</f>
        <v/>
      </c>
      <c r="AT345" t="str">
        <f t="shared" si="334"/>
        <v>00</v>
      </c>
      <c r="AU345">
        <v>0.5</v>
      </c>
      <c r="AV345" t="str">
        <f>""</f>
        <v/>
      </c>
      <c r="AW345" t="str">
        <f t="shared" si="355"/>
        <v>06</v>
      </c>
      <c r="AX345" t="str">
        <f t="shared" si="356"/>
        <v>計画</v>
      </c>
      <c r="AY345" t="str">
        <f t="shared" si="357"/>
        <v>02</v>
      </c>
      <c r="AZ345" t="str">
        <f t="shared" si="358"/>
        <v>計画・２社</v>
      </c>
      <c r="BA345" t="str">
        <f>""</f>
        <v/>
      </c>
      <c r="BB345" t="str">
        <f t="shared" si="335"/>
        <v>ＴＰ１３１フタナシ</v>
      </c>
      <c r="BC345" t="str">
        <f t="shared" si="336"/>
        <v xml:space="preserve"> 335.000</v>
      </c>
      <c r="BD345" t="str">
        <f t="shared" si="337"/>
        <v xml:space="preserve"> 168.000</v>
      </c>
      <c r="BE345" t="str">
        <f t="shared" si="338"/>
        <v xml:space="preserve"> 103.000</v>
      </c>
      <c r="BF345" t="str">
        <f t="shared" si="339"/>
        <v xml:space="preserve">   0.006</v>
      </c>
      <c r="BG345" t="str">
        <f t="shared" si="363"/>
        <v xml:space="preserve">   6.500</v>
      </c>
      <c r="BH345" t="str">
        <f t="shared" si="324"/>
        <v>しない</v>
      </c>
      <c r="BI345" t="str">
        <f>""</f>
        <v/>
      </c>
      <c r="BJ345" t="str">
        <f t="shared" si="362"/>
        <v>MASTER01</v>
      </c>
      <c r="BK345" t="str">
        <f t="shared" si="327"/>
        <v>2022/04/19</v>
      </c>
      <c r="BL345" t="str">
        <f t="shared" si="350"/>
        <v>NE00</v>
      </c>
      <c r="BM345" t="str">
        <f t="shared" si="351"/>
        <v>１工工務Ｇ</v>
      </c>
      <c r="BN345" t="str">
        <f t="shared" si="359"/>
        <v>46548</v>
      </c>
      <c r="BO345" t="str">
        <f t="shared" si="360"/>
        <v>長畑　玲奈</v>
      </c>
    </row>
    <row r="346" spans="1:67">
      <c r="A346" t="s">
        <v>428</v>
      </c>
      <c r="B346" t="str">
        <f>""</f>
        <v/>
      </c>
      <c r="C346" t="str">
        <f>""</f>
        <v/>
      </c>
      <c r="D346" t="str">
        <f t="shared" si="352"/>
        <v>SHIM</v>
      </c>
      <c r="E346" t="str">
        <f t="shared" si="340"/>
        <v>1Y</v>
      </c>
      <c r="F346" t="str">
        <f t="shared" si="341"/>
        <v>第１工場</v>
      </c>
      <c r="G346" t="str">
        <f t="shared" si="342"/>
        <v>手配</v>
      </c>
      <c r="H346" t="str">
        <f t="shared" si="343"/>
        <v>Ｐ</v>
      </c>
      <c r="I346" t="str">
        <f t="shared" si="328"/>
        <v>6454</v>
      </c>
      <c r="J346" t="str">
        <f t="shared" si="329"/>
        <v>（株）ムロコーポレーション</v>
      </c>
      <c r="K346" t="str">
        <f t="shared" si="326"/>
        <v>01</v>
      </c>
      <c r="L346" t="str">
        <f>""</f>
        <v/>
      </c>
      <c r="M346" t="str">
        <f t="shared" si="325"/>
        <v>――</v>
      </c>
      <c r="N346" t="str">
        <f t="shared" si="325"/>
        <v>――</v>
      </c>
      <c r="O346" t="str">
        <f t="shared" si="344"/>
        <v>Ｍ</v>
      </c>
      <c r="P346" t="str">
        <f t="shared" si="345"/>
        <v>01</v>
      </c>
      <c r="Q346" t="str">
        <f t="shared" si="346"/>
        <v>第１</v>
      </c>
      <c r="R346" t="str">
        <f t="shared" si="347"/>
        <v>1Y</v>
      </c>
      <c r="S346" t="str">
        <f t="shared" si="348"/>
        <v>安城第１工場</v>
      </c>
      <c r="T346" t="str">
        <f t="shared" si="349"/>
        <v>直接</v>
      </c>
      <c r="U346" t="str">
        <f>""</f>
        <v/>
      </c>
      <c r="V346" t="str">
        <f>""</f>
        <v/>
      </c>
      <c r="W346" t="str">
        <f>""</f>
        <v/>
      </c>
      <c r="X346">
        <v>1</v>
      </c>
      <c r="Y346">
        <v>1</v>
      </c>
      <c r="Z346">
        <v>0.73</v>
      </c>
      <c r="AA346">
        <v>0.93</v>
      </c>
      <c r="AB346">
        <v>3</v>
      </c>
      <c r="AC346">
        <v>0.93</v>
      </c>
      <c r="AD346">
        <v>0.93</v>
      </c>
      <c r="AE346">
        <v>1.1000000000000001</v>
      </c>
      <c r="AF346">
        <v>0.5</v>
      </c>
      <c r="AG346" t="str">
        <f t="shared" si="330"/>
        <v>205</v>
      </c>
      <c r="AH346" t="str">
        <f t="shared" si="331"/>
        <v>（株）ムロコーポレーション</v>
      </c>
      <c r="AI346" t="str">
        <f>"193"</f>
        <v>193</v>
      </c>
      <c r="AJ346" t="str">
        <f>"S-SM-2-27"</f>
        <v>S-SM-2-27</v>
      </c>
      <c r="AK346" t="str">
        <f>"10238"</f>
        <v>10238</v>
      </c>
      <c r="AL346" t="str">
        <f t="shared" si="353"/>
        <v>0370</v>
      </c>
      <c r="AM346" t="str">
        <f t="shared" si="354"/>
        <v>ｼﾑ</v>
      </c>
      <c r="AN346" t="str">
        <f t="shared" si="332"/>
        <v>012</v>
      </c>
      <c r="AO346" t="str">
        <f t="shared" si="333"/>
        <v>TP-131 ﾊﾝﾖｳ</v>
      </c>
      <c r="AP346">
        <v>100</v>
      </c>
      <c r="AQ346" t="str">
        <f>""</f>
        <v/>
      </c>
      <c r="AR346" t="str">
        <f>""</f>
        <v/>
      </c>
      <c r="AS346" t="str">
        <f>""</f>
        <v/>
      </c>
      <c r="AT346" t="str">
        <f t="shared" si="334"/>
        <v>00</v>
      </c>
      <c r="AU346">
        <v>0.5</v>
      </c>
      <c r="AV346" t="str">
        <f>""</f>
        <v/>
      </c>
      <c r="AW346" t="str">
        <f t="shared" si="355"/>
        <v>06</v>
      </c>
      <c r="AX346" t="str">
        <f t="shared" si="356"/>
        <v>計画</v>
      </c>
      <c r="AY346" t="str">
        <f t="shared" si="357"/>
        <v>02</v>
      </c>
      <c r="AZ346" t="str">
        <f t="shared" si="358"/>
        <v>計画・２社</v>
      </c>
      <c r="BA346" t="str">
        <f>""</f>
        <v/>
      </c>
      <c r="BB346" t="str">
        <f t="shared" si="335"/>
        <v>ＴＰ１３１フタナシ</v>
      </c>
      <c r="BC346" t="str">
        <f t="shared" si="336"/>
        <v xml:space="preserve"> 335.000</v>
      </c>
      <c r="BD346" t="str">
        <f t="shared" si="337"/>
        <v xml:space="preserve"> 168.000</v>
      </c>
      <c r="BE346" t="str">
        <f t="shared" si="338"/>
        <v xml:space="preserve"> 103.000</v>
      </c>
      <c r="BF346" t="str">
        <f t="shared" si="339"/>
        <v xml:space="preserve">   0.006</v>
      </c>
      <c r="BG346" t="str">
        <f t="shared" si="363"/>
        <v xml:space="preserve">   6.500</v>
      </c>
      <c r="BH346" t="str">
        <f t="shared" si="324"/>
        <v>しない</v>
      </c>
      <c r="BI346" t="str">
        <f>""</f>
        <v/>
      </c>
      <c r="BJ346" t="str">
        <f t="shared" si="362"/>
        <v>MASTER01</v>
      </c>
      <c r="BK346" t="str">
        <f t="shared" si="327"/>
        <v>2022/04/19</v>
      </c>
      <c r="BL346" t="str">
        <f t="shared" si="350"/>
        <v>NE00</v>
      </c>
      <c r="BM346" t="str">
        <f t="shared" si="351"/>
        <v>１工工務Ｇ</v>
      </c>
      <c r="BN346" t="str">
        <f t="shared" si="359"/>
        <v>46548</v>
      </c>
      <c r="BO346" t="str">
        <f t="shared" si="360"/>
        <v>長畑　玲奈</v>
      </c>
    </row>
    <row r="347" spans="1:67">
      <c r="A347" t="s">
        <v>429</v>
      </c>
      <c r="B347" t="str">
        <f>""</f>
        <v/>
      </c>
      <c r="C347" t="str">
        <f>""</f>
        <v/>
      </c>
      <c r="D347" t="str">
        <f t="shared" si="352"/>
        <v>SHIM</v>
      </c>
      <c r="E347" t="str">
        <f t="shared" si="340"/>
        <v>1Y</v>
      </c>
      <c r="F347" t="str">
        <f t="shared" si="341"/>
        <v>第１工場</v>
      </c>
      <c r="G347" t="str">
        <f t="shared" si="342"/>
        <v>手配</v>
      </c>
      <c r="H347" t="str">
        <f t="shared" si="343"/>
        <v>Ｐ</v>
      </c>
      <c r="I347" t="str">
        <f t="shared" si="328"/>
        <v>6454</v>
      </c>
      <c r="J347" t="str">
        <f t="shared" si="329"/>
        <v>（株）ムロコーポレーション</v>
      </c>
      <c r="K347" t="str">
        <f t="shared" si="326"/>
        <v>01</v>
      </c>
      <c r="L347" t="str">
        <f>""</f>
        <v/>
      </c>
      <c r="M347" t="str">
        <f t="shared" si="325"/>
        <v>――</v>
      </c>
      <c r="N347" t="str">
        <f t="shared" si="325"/>
        <v>――</v>
      </c>
      <c r="O347" t="str">
        <f t="shared" si="344"/>
        <v>Ｍ</v>
      </c>
      <c r="P347" t="str">
        <f t="shared" si="345"/>
        <v>01</v>
      </c>
      <c r="Q347" t="str">
        <f t="shared" si="346"/>
        <v>第１</v>
      </c>
      <c r="R347" t="str">
        <f t="shared" si="347"/>
        <v>1Y</v>
      </c>
      <c r="S347" t="str">
        <f t="shared" si="348"/>
        <v>安城第１工場</v>
      </c>
      <c r="T347" t="str">
        <f t="shared" si="349"/>
        <v>直接</v>
      </c>
      <c r="U347" t="str">
        <f>""</f>
        <v/>
      </c>
      <c r="V347" t="str">
        <f>""</f>
        <v/>
      </c>
      <c r="W347" t="str">
        <f>""</f>
        <v/>
      </c>
      <c r="X347">
        <v>1</v>
      </c>
      <c r="Y347">
        <v>1</v>
      </c>
      <c r="Z347">
        <v>0.73</v>
      </c>
      <c r="AA347">
        <v>0.93</v>
      </c>
      <c r="AB347">
        <v>3</v>
      </c>
      <c r="AC347">
        <v>0.93</v>
      </c>
      <c r="AD347">
        <v>0.93</v>
      </c>
      <c r="AE347">
        <v>1.1000000000000001</v>
      </c>
      <c r="AF347">
        <v>0.5</v>
      </c>
      <c r="AG347" t="str">
        <f t="shared" si="330"/>
        <v>205</v>
      </c>
      <c r="AH347" t="str">
        <f t="shared" si="331"/>
        <v>（株）ムロコーポレーション</v>
      </c>
      <c r="AI347" t="str">
        <f>"194"</f>
        <v>194</v>
      </c>
      <c r="AJ347" t="str">
        <f>"S-SM-2-28"</f>
        <v>S-SM-2-28</v>
      </c>
      <c r="AK347" t="str">
        <f>"10239"</f>
        <v>10239</v>
      </c>
      <c r="AL347" t="str">
        <f t="shared" si="353"/>
        <v>0370</v>
      </c>
      <c r="AM347" t="str">
        <f t="shared" si="354"/>
        <v>ｼﾑ</v>
      </c>
      <c r="AN347" t="str">
        <f t="shared" si="332"/>
        <v>012</v>
      </c>
      <c r="AO347" t="str">
        <f t="shared" si="333"/>
        <v>TP-131 ﾊﾝﾖｳ</v>
      </c>
      <c r="AP347">
        <v>100</v>
      </c>
      <c r="AQ347" t="str">
        <f>""</f>
        <v/>
      </c>
      <c r="AR347" t="str">
        <f>""</f>
        <v/>
      </c>
      <c r="AS347" t="str">
        <f>""</f>
        <v/>
      </c>
      <c r="AT347" t="str">
        <f t="shared" si="334"/>
        <v>00</v>
      </c>
      <c r="AU347">
        <v>0.5</v>
      </c>
      <c r="AV347" t="str">
        <f>""</f>
        <v/>
      </c>
      <c r="AW347" t="str">
        <f t="shared" si="355"/>
        <v>06</v>
      </c>
      <c r="AX347" t="str">
        <f t="shared" si="356"/>
        <v>計画</v>
      </c>
      <c r="AY347" t="str">
        <f t="shared" si="357"/>
        <v>02</v>
      </c>
      <c r="AZ347" t="str">
        <f t="shared" si="358"/>
        <v>計画・２社</v>
      </c>
      <c r="BA347" t="str">
        <f>""</f>
        <v/>
      </c>
      <c r="BB347" t="str">
        <f t="shared" si="335"/>
        <v>ＴＰ１３１フタナシ</v>
      </c>
      <c r="BC347" t="str">
        <f t="shared" si="336"/>
        <v xml:space="preserve"> 335.000</v>
      </c>
      <c r="BD347" t="str">
        <f t="shared" si="337"/>
        <v xml:space="preserve"> 168.000</v>
      </c>
      <c r="BE347" t="str">
        <f t="shared" si="338"/>
        <v xml:space="preserve"> 103.000</v>
      </c>
      <c r="BF347" t="str">
        <f t="shared" si="339"/>
        <v xml:space="preserve">   0.006</v>
      </c>
      <c r="BG347" t="str">
        <f t="shared" si="363"/>
        <v xml:space="preserve">   6.500</v>
      </c>
      <c r="BH347" t="str">
        <f t="shared" si="324"/>
        <v>しない</v>
      </c>
      <c r="BI347" t="str">
        <f>""</f>
        <v/>
      </c>
      <c r="BJ347" t="str">
        <f t="shared" si="362"/>
        <v>MASTER01</v>
      </c>
      <c r="BK347" t="str">
        <f t="shared" si="327"/>
        <v>2022/04/19</v>
      </c>
      <c r="BL347" t="str">
        <f t="shared" si="350"/>
        <v>NE00</v>
      </c>
      <c r="BM347" t="str">
        <f t="shared" si="351"/>
        <v>１工工務Ｇ</v>
      </c>
      <c r="BN347" t="str">
        <f t="shared" si="359"/>
        <v>46548</v>
      </c>
      <c r="BO347" t="str">
        <f t="shared" si="360"/>
        <v>長畑　玲奈</v>
      </c>
    </row>
    <row r="348" spans="1:67">
      <c r="A348" t="s">
        <v>430</v>
      </c>
      <c r="B348" t="str">
        <f>""</f>
        <v/>
      </c>
      <c r="C348" t="str">
        <f>""</f>
        <v/>
      </c>
      <c r="D348" t="str">
        <f t="shared" si="352"/>
        <v>SHIM</v>
      </c>
      <c r="E348" t="str">
        <f t="shared" si="340"/>
        <v>1Y</v>
      </c>
      <c r="F348" t="str">
        <f t="shared" si="341"/>
        <v>第１工場</v>
      </c>
      <c r="G348" t="str">
        <f t="shared" si="342"/>
        <v>手配</v>
      </c>
      <c r="H348" t="str">
        <f t="shared" si="343"/>
        <v>Ｐ</v>
      </c>
      <c r="I348" t="str">
        <f t="shared" si="328"/>
        <v>6454</v>
      </c>
      <c r="J348" t="str">
        <f t="shared" si="329"/>
        <v>（株）ムロコーポレーション</v>
      </c>
      <c r="K348" t="str">
        <f t="shared" si="326"/>
        <v>01</v>
      </c>
      <c r="L348" t="str">
        <f>""</f>
        <v/>
      </c>
      <c r="M348" t="str">
        <f t="shared" si="325"/>
        <v>――</v>
      </c>
      <c r="N348" t="str">
        <f t="shared" si="325"/>
        <v>――</v>
      </c>
      <c r="O348" t="str">
        <f t="shared" si="344"/>
        <v>Ｍ</v>
      </c>
      <c r="P348" t="str">
        <f t="shared" si="345"/>
        <v>01</v>
      </c>
      <c r="Q348" t="str">
        <f t="shared" si="346"/>
        <v>第１</v>
      </c>
      <c r="R348" t="str">
        <f t="shared" si="347"/>
        <v>1Y</v>
      </c>
      <c r="S348" t="str">
        <f t="shared" si="348"/>
        <v>安城第１工場</v>
      </c>
      <c r="T348" t="str">
        <f t="shared" si="349"/>
        <v>直接</v>
      </c>
      <c r="U348" t="str">
        <f>""</f>
        <v/>
      </c>
      <c r="V348" t="str">
        <f>""</f>
        <v/>
      </c>
      <c r="W348" t="str">
        <f>""</f>
        <v/>
      </c>
      <c r="X348">
        <v>1</v>
      </c>
      <c r="Y348">
        <v>1</v>
      </c>
      <c r="Z348">
        <v>0.73</v>
      </c>
      <c r="AA348">
        <v>0.93</v>
      </c>
      <c r="AB348">
        <v>3</v>
      </c>
      <c r="AC348">
        <v>0.93</v>
      </c>
      <c r="AD348">
        <v>0.93</v>
      </c>
      <c r="AE348">
        <v>1.1000000000000001</v>
      </c>
      <c r="AF348">
        <v>0.5</v>
      </c>
      <c r="AG348" t="str">
        <f t="shared" si="330"/>
        <v>205</v>
      </c>
      <c r="AH348" t="str">
        <f t="shared" si="331"/>
        <v>（株）ムロコーポレーション</v>
      </c>
      <c r="AI348" t="str">
        <f>"195"</f>
        <v>195</v>
      </c>
      <c r="AJ348" t="str">
        <f>"S-SM-2-29"</f>
        <v>S-SM-2-29</v>
      </c>
      <c r="AK348" t="str">
        <f>"10240"</f>
        <v>10240</v>
      </c>
      <c r="AL348" t="str">
        <f t="shared" si="353"/>
        <v>0370</v>
      </c>
      <c r="AM348" t="str">
        <f t="shared" si="354"/>
        <v>ｼﾑ</v>
      </c>
      <c r="AN348" t="str">
        <f t="shared" si="332"/>
        <v>012</v>
      </c>
      <c r="AO348" t="str">
        <f t="shared" si="333"/>
        <v>TP-131 ﾊﾝﾖｳ</v>
      </c>
      <c r="AP348">
        <v>100</v>
      </c>
      <c r="AQ348" t="str">
        <f>""</f>
        <v/>
      </c>
      <c r="AR348" t="str">
        <f>""</f>
        <v/>
      </c>
      <c r="AS348" t="str">
        <f>""</f>
        <v/>
      </c>
      <c r="AT348" t="str">
        <f t="shared" si="334"/>
        <v>00</v>
      </c>
      <c r="AU348">
        <v>0.5</v>
      </c>
      <c r="AV348" t="str">
        <f>""</f>
        <v/>
      </c>
      <c r="AW348" t="str">
        <f t="shared" si="355"/>
        <v>06</v>
      </c>
      <c r="AX348" t="str">
        <f t="shared" si="356"/>
        <v>計画</v>
      </c>
      <c r="AY348" t="str">
        <f t="shared" si="357"/>
        <v>02</v>
      </c>
      <c r="AZ348" t="str">
        <f t="shared" si="358"/>
        <v>計画・２社</v>
      </c>
      <c r="BA348" t="str">
        <f>""</f>
        <v/>
      </c>
      <c r="BB348" t="str">
        <f t="shared" si="335"/>
        <v>ＴＰ１３１フタナシ</v>
      </c>
      <c r="BC348" t="str">
        <f t="shared" si="336"/>
        <v xml:space="preserve"> 335.000</v>
      </c>
      <c r="BD348" t="str">
        <f t="shared" si="337"/>
        <v xml:space="preserve"> 168.000</v>
      </c>
      <c r="BE348" t="str">
        <f t="shared" si="338"/>
        <v xml:space="preserve"> 103.000</v>
      </c>
      <c r="BF348" t="str">
        <f t="shared" si="339"/>
        <v xml:space="preserve">   0.006</v>
      </c>
      <c r="BG348" t="str">
        <f t="shared" si="363"/>
        <v xml:space="preserve">   6.500</v>
      </c>
      <c r="BH348" t="str">
        <f t="shared" si="324"/>
        <v>しない</v>
      </c>
      <c r="BI348" t="str">
        <f>""</f>
        <v/>
      </c>
      <c r="BJ348" t="str">
        <f t="shared" si="362"/>
        <v>MASTER01</v>
      </c>
      <c r="BK348" t="str">
        <f t="shared" si="327"/>
        <v>2022/04/19</v>
      </c>
      <c r="BL348" t="str">
        <f t="shared" si="350"/>
        <v>NE00</v>
      </c>
      <c r="BM348" t="str">
        <f t="shared" si="351"/>
        <v>１工工務Ｇ</v>
      </c>
      <c r="BN348" t="str">
        <f t="shared" si="359"/>
        <v>46548</v>
      </c>
      <c r="BO348" t="str">
        <f t="shared" si="360"/>
        <v>長畑　玲奈</v>
      </c>
    </row>
    <row r="349" spans="1:67">
      <c r="A349" t="s">
        <v>431</v>
      </c>
      <c r="B349" t="str">
        <f>""</f>
        <v/>
      </c>
      <c r="C349" t="str">
        <f>""</f>
        <v/>
      </c>
      <c r="D349" t="str">
        <f t="shared" si="352"/>
        <v>SHIM</v>
      </c>
      <c r="E349" t="str">
        <f t="shared" si="340"/>
        <v>1Y</v>
      </c>
      <c r="F349" t="str">
        <f t="shared" si="341"/>
        <v>第１工場</v>
      </c>
      <c r="G349" t="str">
        <f t="shared" si="342"/>
        <v>手配</v>
      </c>
      <c r="H349" t="str">
        <f t="shared" si="343"/>
        <v>Ｐ</v>
      </c>
      <c r="I349" t="str">
        <f t="shared" si="328"/>
        <v>6454</v>
      </c>
      <c r="J349" t="str">
        <f t="shared" si="329"/>
        <v>（株）ムロコーポレーション</v>
      </c>
      <c r="K349" t="str">
        <f t="shared" si="326"/>
        <v>01</v>
      </c>
      <c r="L349" t="str">
        <f>""</f>
        <v/>
      </c>
      <c r="M349" t="str">
        <f t="shared" si="325"/>
        <v>――</v>
      </c>
      <c r="N349" t="str">
        <f t="shared" si="325"/>
        <v>――</v>
      </c>
      <c r="O349" t="str">
        <f t="shared" si="344"/>
        <v>Ｍ</v>
      </c>
      <c r="P349" t="str">
        <f t="shared" si="345"/>
        <v>01</v>
      </c>
      <c r="Q349" t="str">
        <f t="shared" si="346"/>
        <v>第１</v>
      </c>
      <c r="R349" t="str">
        <f t="shared" si="347"/>
        <v>1Y</v>
      </c>
      <c r="S349" t="str">
        <f t="shared" si="348"/>
        <v>安城第１工場</v>
      </c>
      <c r="T349" t="str">
        <f t="shared" si="349"/>
        <v>直接</v>
      </c>
      <c r="U349" t="str">
        <f>""</f>
        <v/>
      </c>
      <c r="V349" t="str">
        <f>""</f>
        <v/>
      </c>
      <c r="W349" t="str">
        <f>""</f>
        <v/>
      </c>
      <c r="X349">
        <v>1</v>
      </c>
      <c r="Y349">
        <v>1</v>
      </c>
      <c r="Z349">
        <v>0.73</v>
      </c>
      <c r="AA349">
        <v>0.93</v>
      </c>
      <c r="AB349">
        <v>3</v>
      </c>
      <c r="AC349">
        <v>0.93</v>
      </c>
      <c r="AD349">
        <v>0.93</v>
      </c>
      <c r="AE349">
        <v>1.1000000000000001</v>
      </c>
      <c r="AF349">
        <v>0.5</v>
      </c>
      <c r="AG349" t="str">
        <f t="shared" si="330"/>
        <v>205</v>
      </c>
      <c r="AH349" t="str">
        <f t="shared" si="331"/>
        <v>（株）ムロコーポレーション</v>
      </c>
      <c r="AI349" t="str">
        <f>"196"</f>
        <v>196</v>
      </c>
      <c r="AJ349" t="str">
        <f>"S-SM-2-30"</f>
        <v>S-SM-2-30</v>
      </c>
      <c r="AK349" t="str">
        <f>"10241"</f>
        <v>10241</v>
      </c>
      <c r="AL349" t="str">
        <f t="shared" si="353"/>
        <v>0370</v>
      </c>
      <c r="AM349" t="str">
        <f t="shared" si="354"/>
        <v>ｼﾑ</v>
      </c>
      <c r="AN349" t="str">
        <f t="shared" si="332"/>
        <v>012</v>
      </c>
      <c r="AO349" t="str">
        <f t="shared" si="333"/>
        <v>TP-131 ﾊﾝﾖｳ</v>
      </c>
      <c r="AP349">
        <v>100</v>
      </c>
      <c r="AQ349" t="str">
        <f>""</f>
        <v/>
      </c>
      <c r="AR349" t="str">
        <f>""</f>
        <v/>
      </c>
      <c r="AS349" t="str">
        <f>""</f>
        <v/>
      </c>
      <c r="AT349" t="str">
        <f t="shared" si="334"/>
        <v>00</v>
      </c>
      <c r="AU349">
        <v>0.5</v>
      </c>
      <c r="AV349" t="str">
        <f>""</f>
        <v/>
      </c>
      <c r="AW349" t="str">
        <f t="shared" si="355"/>
        <v>06</v>
      </c>
      <c r="AX349" t="str">
        <f t="shared" si="356"/>
        <v>計画</v>
      </c>
      <c r="AY349" t="str">
        <f t="shared" si="357"/>
        <v>02</v>
      </c>
      <c r="AZ349" t="str">
        <f t="shared" si="358"/>
        <v>計画・２社</v>
      </c>
      <c r="BA349" t="str">
        <f>""</f>
        <v/>
      </c>
      <c r="BB349" t="str">
        <f t="shared" si="335"/>
        <v>ＴＰ１３１フタナシ</v>
      </c>
      <c r="BC349" t="str">
        <f t="shared" si="336"/>
        <v xml:space="preserve"> 335.000</v>
      </c>
      <c r="BD349" t="str">
        <f t="shared" si="337"/>
        <v xml:space="preserve"> 168.000</v>
      </c>
      <c r="BE349" t="str">
        <f t="shared" si="338"/>
        <v xml:space="preserve"> 103.000</v>
      </c>
      <c r="BF349" t="str">
        <f t="shared" si="339"/>
        <v xml:space="preserve">   0.006</v>
      </c>
      <c r="BG349" t="str">
        <f t="shared" si="363"/>
        <v xml:space="preserve">   6.500</v>
      </c>
      <c r="BH349" t="str">
        <f t="shared" si="324"/>
        <v>しない</v>
      </c>
      <c r="BI349" t="str">
        <f>""</f>
        <v/>
      </c>
      <c r="BJ349" t="str">
        <f t="shared" si="362"/>
        <v>MASTER01</v>
      </c>
      <c r="BK349" t="str">
        <f t="shared" si="327"/>
        <v>2022/04/19</v>
      </c>
      <c r="BL349" t="str">
        <f t="shared" si="350"/>
        <v>NE00</v>
      </c>
      <c r="BM349" t="str">
        <f t="shared" si="351"/>
        <v>１工工務Ｇ</v>
      </c>
      <c r="BN349" t="str">
        <f t="shared" si="359"/>
        <v>46548</v>
      </c>
      <c r="BO349" t="str">
        <f t="shared" si="360"/>
        <v>長畑　玲奈</v>
      </c>
    </row>
    <row r="350" spans="1:67">
      <c r="A350" t="s">
        <v>432</v>
      </c>
      <c r="B350" t="str">
        <f>""</f>
        <v/>
      </c>
      <c r="C350" t="str">
        <f>""</f>
        <v/>
      </c>
      <c r="D350" t="str">
        <f t="shared" si="352"/>
        <v>SHIM</v>
      </c>
      <c r="E350" t="str">
        <f t="shared" si="340"/>
        <v>1Y</v>
      </c>
      <c r="F350" t="str">
        <f t="shared" si="341"/>
        <v>第１工場</v>
      </c>
      <c r="G350" t="str">
        <f t="shared" si="342"/>
        <v>手配</v>
      </c>
      <c r="H350" t="str">
        <f t="shared" si="343"/>
        <v>Ｐ</v>
      </c>
      <c r="I350" t="str">
        <f t="shared" si="328"/>
        <v>6454</v>
      </c>
      <c r="J350" t="str">
        <f t="shared" si="329"/>
        <v>（株）ムロコーポレーション</v>
      </c>
      <c r="K350" t="str">
        <f t="shared" si="326"/>
        <v>01</v>
      </c>
      <c r="L350" t="str">
        <f>""</f>
        <v/>
      </c>
      <c r="M350" t="str">
        <f t="shared" si="325"/>
        <v>――</v>
      </c>
      <c r="N350" t="str">
        <f t="shared" si="325"/>
        <v>――</v>
      </c>
      <c r="O350" t="str">
        <f t="shared" si="344"/>
        <v>Ｍ</v>
      </c>
      <c r="P350" t="str">
        <f t="shared" si="345"/>
        <v>01</v>
      </c>
      <c r="Q350" t="str">
        <f t="shared" si="346"/>
        <v>第１</v>
      </c>
      <c r="R350" t="str">
        <f t="shared" si="347"/>
        <v>1Y</v>
      </c>
      <c r="S350" t="str">
        <f t="shared" si="348"/>
        <v>安城第１工場</v>
      </c>
      <c r="T350" t="str">
        <f t="shared" si="349"/>
        <v>直接</v>
      </c>
      <c r="U350" t="str">
        <f>""</f>
        <v/>
      </c>
      <c r="V350" t="str">
        <f>""</f>
        <v/>
      </c>
      <c r="W350" t="str">
        <f>""</f>
        <v/>
      </c>
      <c r="X350">
        <v>1</v>
      </c>
      <c r="Y350">
        <v>1</v>
      </c>
      <c r="Z350">
        <v>0.73</v>
      </c>
      <c r="AA350">
        <v>0.93</v>
      </c>
      <c r="AB350">
        <v>3</v>
      </c>
      <c r="AC350">
        <v>0.93</v>
      </c>
      <c r="AD350">
        <v>0.93</v>
      </c>
      <c r="AE350">
        <v>1.1000000000000001</v>
      </c>
      <c r="AF350">
        <v>0.5</v>
      </c>
      <c r="AG350" t="str">
        <f t="shared" si="330"/>
        <v>205</v>
      </c>
      <c r="AH350" t="str">
        <f t="shared" si="331"/>
        <v>（株）ムロコーポレーション</v>
      </c>
      <c r="AI350" t="str">
        <f>"197"</f>
        <v>197</v>
      </c>
      <c r="AJ350" t="str">
        <f>"S-SM-2-31"</f>
        <v>S-SM-2-31</v>
      </c>
      <c r="AK350" t="str">
        <f>"10242"</f>
        <v>10242</v>
      </c>
      <c r="AL350" t="str">
        <f t="shared" si="353"/>
        <v>0370</v>
      </c>
      <c r="AM350" t="str">
        <f t="shared" si="354"/>
        <v>ｼﾑ</v>
      </c>
      <c r="AN350" t="str">
        <f t="shared" si="332"/>
        <v>012</v>
      </c>
      <c r="AO350" t="str">
        <f t="shared" si="333"/>
        <v>TP-131 ﾊﾝﾖｳ</v>
      </c>
      <c r="AP350">
        <v>100</v>
      </c>
      <c r="AQ350" t="str">
        <f>""</f>
        <v/>
      </c>
      <c r="AR350" t="str">
        <f>""</f>
        <v/>
      </c>
      <c r="AS350" t="str">
        <f>""</f>
        <v/>
      </c>
      <c r="AT350" t="str">
        <f t="shared" si="334"/>
        <v>00</v>
      </c>
      <c r="AU350">
        <v>0.5</v>
      </c>
      <c r="AV350" t="str">
        <f>""</f>
        <v/>
      </c>
      <c r="AW350" t="str">
        <f t="shared" si="355"/>
        <v>06</v>
      </c>
      <c r="AX350" t="str">
        <f t="shared" si="356"/>
        <v>計画</v>
      </c>
      <c r="AY350" t="str">
        <f t="shared" si="357"/>
        <v>02</v>
      </c>
      <c r="AZ350" t="str">
        <f t="shared" si="358"/>
        <v>計画・２社</v>
      </c>
      <c r="BA350" t="str">
        <f>""</f>
        <v/>
      </c>
      <c r="BB350" t="str">
        <f t="shared" si="335"/>
        <v>ＴＰ１３１フタナシ</v>
      </c>
      <c r="BC350" t="str">
        <f t="shared" si="336"/>
        <v xml:space="preserve"> 335.000</v>
      </c>
      <c r="BD350" t="str">
        <f t="shared" si="337"/>
        <v xml:space="preserve"> 168.000</v>
      </c>
      <c r="BE350" t="str">
        <f t="shared" si="338"/>
        <v xml:space="preserve"> 103.000</v>
      </c>
      <c r="BF350" t="str">
        <f t="shared" si="339"/>
        <v xml:space="preserve">   0.006</v>
      </c>
      <c r="BG350" t="str">
        <f t="shared" si="363"/>
        <v xml:space="preserve">   6.500</v>
      </c>
      <c r="BH350" t="str">
        <f t="shared" si="324"/>
        <v>しない</v>
      </c>
      <c r="BI350" t="str">
        <f>""</f>
        <v/>
      </c>
      <c r="BJ350" t="str">
        <f t="shared" si="362"/>
        <v>MASTER01</v>
      </c>
      <c r="BK350" t="str">
        <f t="shared" si="327"/>
        <v>2022/04/19</v>
      </c>
      <c r="BL350" t="str">
        <f t="shared" si="350"/>
        <v>NE00</v>
      </c>
      <c r="BM350" t="str">
        <f t="shared" si="351"/>
        <v>１工工務Ｇ</v>
      </c>
      <c r="BN350" t="str">
        <f t="shared" si="359"/>
        <v>46548</v>
      </c>
      <c r="BO350" t="str">
        <f t="shared" si="360"/>
        <v>長畑　玲奈</v>
      </c>
    </row>
    <row r="351" spans="1:67">
      <c r="A351" t="s">
        <v>433</v>
      </c>
      <c r="B351" t="str">
        <f>""</f>
        <v/>
      </c>
      <c r="C351" t="str">
        <f>""</f>
        <v/>
      </c>
      <c r="D351" t="str">
        <f t="shared" si="352"/>
        <v>SHIM</v>
      </c>
      <c r="E351" t="str">
        <f t="shared" si="340"/>
        <v>1Y</v>
      </c>
      <c r="F351" t="str">
        <f t="shared" si="341"/>
        <v>第１工場</v>
      </c>
      <c r="G351" t="str">
        <f t="shared" si="342"/>
        <v>手配</v>
      </c>
      <c r="H351" t="str">
        <f t="shared" si="343"/>
        <v>Ｐ</v>
      </c>
      <c r="I351" t="str">
        <f t="shared" si="328"/>
        <v>6454</v>
      </c>
      <c r="J351" t="str">
        <f t="shared" si="329"/>
        <v>（株）ムロコーポレーション</v>
      </c>
      <c r="K351" t="str">
        <f t="shared" si="326"/>
        <v>01</v>
      </c>
      <c r="L351" t="str">
        <f>""</f>
        <v/>
      </c>
      <c r="M351" t="str">
        <f t="shared" si="325"/>
        <v>――</v>
      </c>
      <c r="N351" t="str">
        <f t="shared" si="325"/>
        <v>――</v>
      </c>
      <c r="O351" t="str">
        <f t="shared" si="344"/>
        <v>Ｍ</v>
      </c>
      <c r="P351" t="str">
        <f t="shared" si="345"/>
        <v>01</v>
      </c>
      <c r="Q351" t="str">
        <f t="shared" si="346"/>
        <v>第１</v>
      </c>
      <c r="R351" t="str">
        <f t="shared" si="347"/>
        <v>1Y</v>
      </c>
      <c r="S351" t="str">
        <f t="shared" si="348"/>
        <v>安城第１工場</v>
      </c>
      <c r="T351" t="str">
        <f t="shared" si="349"/>
        <v>直接</v>
      </c>
      <c r="U351" t="str">
        <f>""</f>
        <v/>
      </c>
      <c r="V351" t="str">
        <f>""</f>
        <v/>
      </c>
      <c r="W351" t="str">
        <f>""</f>
        <v/>
      </c>
      <c r="X351">
        <v>1</v>
      </c>
      <c r="Y351">
        <v>1</v>
      </c>
      <c r="Z351">
        <v>0.73</v>
      </c>
      <c r="AA351">
        <v>0.93</v>
      </c>
      <c r="AB351">
        <v>3</v>
      </c>
      <c r="AC351">
        <v>0.93</v>
      </c>
      <c r="AD351">
        <v>0.93</v>
      </c>
      <c r="AE351">
        <v>1.1000000000000001</v>
      </c>
      <c r="AF351">
        <v>0.5</v>
      </c>
      <c r="AG351" t="str">
        <f t="shared" si="330"/>
        <v>205</v>
      </c>
      <c r="AH351" t="str">
        <f t="shared" si="331"/>
        <v>（株）ムロコーポレーション</v>
      </c>
      <c r="AI351" t="str">
        <f>"198"</f>
        <v>198</v>
      </c>
      <c r="AJ351" t="str">
        <f>"S-SM-2-32"</f>
        <v>S-SM-2-32</v>
      </c>
      <c r="AK351" t="str">
        <f>"10243"</f>
        <v>10243</v>
      </c>
      <c r="AL351" t="str">
        <f t="shared" si="353"/>
        <v>0370</v>
      </c>
      <c r="AM351" t="str">
        <f t="shared" si="354"/>
        <v>ｼﾑ</v>
      </c>
      <c r="AN351" t="str">
        <f t="shared" si="332"/>
        <v>012</v>
      </c>
      <c r="AO351" t="str">
        <f t="shared" si="333"/>
        <v>TP-131 ﾊﾝﾖｳ</v>
      </c>
      <c r="AP351">
        <v>100</v>
      </c>
      <c r="AQ351" t="str">
        <f>""</f>
        <v/>
      </c>
      <c r="AR351" t="str">
        <f>""</f>
        <v/>
      </c>
      <c r="AS351" t="str">
        <f>""</f>
        <v/>
      </c>
      <c r="AT351" t="str">
        <f t="shared" si="334"/>
        <v>00</v>
      </c>
      <c r="AU351">
        <v>0.5</v>
      </c>
      <c r="AV351" t="str">
        <f>""</f>
        <v/>
      </c>
      <c r="AW351" t="str">
        <f t="shared" si="355"/>
        <v>06</v>
      </c>
      <c r="AX351" t="str">
        <f t="shared" si="356"/>
        <v>計画</v>
      </c>
      <c r="AY351" t="str">
        <f t="shared" si="357"/>
        <v>02</v>
      </c>
      <c r="AZ351" t="str">
        <f t="shared" si="358"/>
        <v>計画・２社</v>
      </c>
      <c r="BA351" t="str">
        <f>""</f>
        <v/>
      </c>
      <c r="BB351" t="str">
        <f t="shared" si="335"/>
        <v>ＴＰ１３１フタナシ</v>
      </c>
      <c r="BC351" t="str">
        <f t="shared" si="336"/>
        <v xml:space="preserve"> 335.000</v>
      </c>
      <c r="BD351" t="str">
        <f t="shared" si="337"/>
        <v xml:space="preserve"> 168.000</v>
      </c>
      <c r="BE351" t="str">
        <f t="shared" si="338"/>
        <v xml:space="preserve"> 103.000</v>
      </c>
      <c r="BF351" t="str">
        <f t="shared" si="339"/>
        <v xml:space="preserve">   0.006</v>
      </c>
      <c r="BG351" t="str">
        <f t="shared" si="363"/>
        <v xml:space="preserve">   6.500</v>
      </c>
      <c r="BH351" t="str">
        <f t="shared" si="324"/>
        <v>しない</v>
      </c>
      <c r="BI351" t="str">
        <f>""</f>
        <v/>
      </c>
      <c r="BJ351" t="str">
        <f t="shared" si="362"/>
        <v>MASTER01</v>
      </c>
      <c r="BK351" t="str">
        <f t="shared" si="327"/>
        <v>2022/04/19</v>
      </c>
      <c r="BL351" t="str">
        <f t="shared" si="350"/>
        <v>NE00</v>
      </c>
      <c r="BM351" t="str">
        <f t="shared" si="351"/>
        <v>１工工務Ｇ</v>
      </c>
      <c r="BN351" t="str">
        <f t="shared" si="359"/>
        <v>46548</v>
      </c>
      <c r="BO351" t="str">
        <f t="shared" si="360"/>
        <v>長畑　玲奈</v>
      </c>
    </row>
    <row r="352" spans="1:67">
      <c r="A352" t="s">
        <v>434</v>
      </c>
      <c r="B352" t="str">
        <f>""</f>
        <v/>
      </c>
      <c r="C352" t="str">
        <f>""</f>
        <v/>
      </c>
      <c r="D352" t="str">
        <f t="shared" si="352"/>
        <v>SHIM</v>
      </c>
      <c r="E352" t="str">
        <f t="shared" si="340"/>
        <v>1Y</v>
      </c>
      <c r="F352" t="str">
        <f t="shared" si="341"/>
        <v>第１工場</v>
      </c>
      <c r="G352" t="str">
        <f t="shared" si="342"/>
        <v>手配</v>
      </c>
      <c r="H352" t="str">
        <f t="shared" si="343"/>
        <v>Ｐ</v>
      </c>
      <c r="I352" t="str">
        <f t="shared" si="328"/>
        <v>6454</v>
      </c>
      <c r="J352" t="str">
        <f t="shared" si="329"/>
        <v>（株）ムロコーポレーション</v>
      </c>
      <c r="K352" t="str">
        <f t="shared" si="326"/>
        <v>01</v>
      </c>
      <c r="L352" t="str">
        <f>""</f>
        <v/>
      </c>
      <c r="M352" t="str">
        <f t="shared" si="325"/>
        <v>――</v>
      </c>
      <c r="N352" t="str">
        <f t="shared" si="325"/>
        <v>――</v>
      </c>
      <c r="O352" t="str">
        <f t="shared" si="344"/>
        <v>Ｍ</v>
      </c>
      <c r="P352" t="str">
        <f t="shared" si="345"/>
        <v>01</v>
      </c>
      <c r="Q352" t="str">
        <f t="shared" si="346"/>
        <v>第１</v>
      </c>
      <c r="R352" t="str">
        <f t="shared" si="347"/>
        <v>1Y</v>
      </c>
      <c r="S352" t="str">
        <f t="shared" si="348"/>
        <v>安城第１工場</v>
      </c>
      <c r="T352" t="str">
        <f t="shared" si="349"/>
        <v>直接</v>
      </c>
      <c r="U352" t="str">
        <f>""</f>
        <v/>
      </c>
      <c r="V352" t="str">
        <f>""</f>
        <v/>
      </c>
      <c r="W352" t="str">
        <f>""</f>
        <v/>
      </c>
      <c r="X352">
        <v>1</v>
      </c>
      <c r="Y352">
        <v>1</v>
      </c>
      <c r="Z352">
        <v>0.73</v>
      </c>
      <c r="AA352">
        <v>0.93</v>
      </c>
      <c r="AB352">
        <v>3</v>
      </c>
      <c r="AC352">
        <v>0.93</v>
      </c>
      <c r="AD352">
        <v>0.93</v>
      </c>
      <c r="AE352">
        <v>1.1000000000000001</v>
      </c>
      <c r="AF352">
        <v>0.5</v>
      </c>
      <c r="AG352" t="str">
        <f t="shared" si="330"/>
        <v>205</v>
      </c>
      <c r="AH352" t="str">
        <f t="shared" si="331"/>
        <v>（株）ムロコーポレーション</v>
      </c>
      <c r="AI352" t="str">
        <f>"199"</f>
        <v>199</v>
      </c>
      <c r="AJ352" t="str">
        <f>"S-SM-2-33"</f>
        <v>S-SM-2-33</v>
      </c>
      <c r="AK352" t="str">
        <f>"10244"</f>
        <v>10244</v>
      </c>
      <c r="AL352" t="str">
        <f t="shared" si="353"/>
        <v>0370</v>
      </c>
      <c r="AM352" t="str">
        <f t="shared" si="354"/>
        <v>ｼﾑ</v>
      </c>
      <c r="AN352" t="str">
        <f t="shared" si="332"/>
        <v>012</v>
      </c>
      <c r="AO352" t="str">
        <f t="shared" si="333"/>
        <v>TP-131 ﾊﾝﾖｳ</v>
      </c>
      <c r="AP352">
        <v>100</v>
      </c>
      <c r="AQ352" t="str">
        <f>""</f>
        <v/>
      </c>
      <c r="AR352" t="str">
        <f>""</f>
        <v/>
      </c>
      <c r="AS352" t="str">
        <f>""</f>
        <v/>
      </c>
      <c r="AT352" t="str">
        <f t="shared" si="334"/>
        <v>00</v>
      </c>
      <c r="AU352">
        <v>0.5</v>
      </c>
      <c r="AV352" t="str">
        <f>""</f>
        <v/>
      </c>
      <c r="AW352" t="str">
        <f t="shared" si="355"/>
        <v>06</v>
      </c>
      <c r="AX352" t="str">
        <f t="shared" si="356"/>
        <v>計画</v>
      </c>
      <c r="AY352" t="str">
        <f t="shared" si="357"/>
        <v>02</v>
      </c>
      <c r="AZ352" t="str">
        <f t="shared" si="358"/>
        <v>計画・２社</v>
      </c>
      <c r="BA352" t="str">
        <f>""</f>
        <v/>
      </c>
      <c r="BB352" t="str">
        <f t="shared" si="335"/>
        <v>ＴＰ１３１フタナシ</v>
      </c>
      <c r="BC352" t="str">
        <f t="shared" si="336"/>
        <v xml:space="preserve"> 335.000</v>
      </c>
      <c r="BD352" t="str">
        <f t="shared" si="337"/>
        <v xml:space="preserve"> 168.000</v>
      </c>
      <c r="BE352" t="str">
        <f t="shared" si="338"/>
        <v xml:space="preserve"> 103.000</v>
      </c>
      <c r="BF352" t="str">
        <f t="shared" si="339"/>
        <v xml:space="preserve">   0.006</v>
      </c>
      <c r="BG352" t="str">
        <f t="shared" si="363"/>
        <v xml:space="preserve">   6.500</v>
      </c>
      <c r="BH352" t="str">
        <f t="shared" si="324"/>
        <v>しない</v>
      </c>
      <c r="BI352" t="str">
        <f>""</f>
        <v/>
      </c>
      <c r="BJ352" t="str">
        <f t="shared" si="362"/>
        <v>MASTER01</v>
      </c>
      <c r="BK352" t="str">
        <f t="shared" si="327"/>
        <v>2022/04/19</v>
      </c>
      <c r="BL352" t="str">
        <f t="shared" si="350"/>
        <v>NE00</v>
      </c>
      <c r="BM352" t="str">
        <f t="shared" si="351"/>
        <v>１工工務Ｇ</v>
      </c>
      <c r="BN352" t="str">
        <f t="shared" si="359"/>
        <v>46548</v>
      </c>
      <c r="BO352" t="str">
        <f t="shared" si="360"/>
        <v>長畑　玲奈</v>
      </c>
    </row>
    <row r="353" spans="1:67">
      <c r="A353" t="s">
        <v>435</v>
      </c>
      <c r="B353" t="str">
        <f>""</f>
        <v/>
      </c>
      <c r="C353" t="str">
        <f>""</f>
        <v/>
      </c>
      <c r="D353" t="str">
        <f t="shared" si="352"/>
        <v>SHIM</v>
      </c>
      <c r="E353" t="str">
        <f t="shared" si="340"/>
        <v>1Y</v>
      </c>
      <c r="F353" t="str">
        <f t="shared" si="341"/>
        <v>第１工場</v>
      </c>
      <c r="G353" t="str">
        <f t="shared" si="342"/>
        <v>手配</v>
      </c>
      <c r="H353" t="str">
        <f t="shared" si="343"/>
        <v>Ｐ</v>
      </c>
      <c r="I353" t="str">
        <f t="shared" si="328"/>
        <v>6454</v>
      </c>
      <c r="J353" t="str">
        <f t="shared" si="329"/>
        <v>（株）ムロコーポレーション</v>
      </c>
      <c r="K353" t="str">
        <f t="shared" si="326"/>
        <v>01</v>
      </c>
      <c r="L353" t="str">
        <f>""</f>
        <v/>
      </c>
      <c r="M353" t="str">
        <f t="shared" si="325"/>
        <v>――</v>
      </c>
      <c r="N353" t="str">
        <f t="shared" si="325"/>
        <v>――</v>
      </c>
      <c r="O353" t="str">
        <f t="shared" si="344"/>
        <v>Ｍ</v>
      </c>
      <c r="P353" t="str">
        <f t="shared" si="345"/>
        <v>01</v>
      </c>
      <c r="Q353" t="str">
        <f t="shared" si="346"/>
        <v>第１</v>
      </c>
      <c r="R353" t="str">
        <f t="shared" si="347"/>
        <v>1Y</v>
      </c>
      <c r="S353" t="str">
        <f t="shared" si="348"/>
        <v>安城第１工場</v>
      </c>
      <c r="T353" t="str">
        <f t="shared" si="349"/>
        <v>直接</v>
      </c>
      <c r="U353" t="str">
        <f>""</f>
        <v/>
      </c>
      <c r="V353" t="str">
        <f>""</f>
        <v/>
      </c>
      <c r="W353" t="str">
        <f>""</f>
        <v/>
      </c>
      <c r="X353">
        <v>1</v>
      </c>
      <c r="Y353">
        <v>1</v>
      </c>
      <c r="Z353">
        <v>0.73</v>
      </c>
      <c r="AA353">
        <v>0.93</v>
      </c>
      <c r="AB353">
        <v>3</v>
      </c>
      <c r="AC353">
        <v>0.93</v>
      </c>
      <c r="AD353">
        <v>0.93</v>
      </c>
      <c r="AE353">
        <v>1.1000000000000001</v>
      </c>
      <c r="AF353">
        <v>0.5</v>
      </c>
      <c r="AG353" t="str">
        <f t="shared" si="330"/>
        <v>205</v>
      </c>
      <c r="AH353" t="str">
        <f t="shared" si="331"/>
        <v>（株）ムロコーポレーション</v>
      </c>
      <c r="AI353" t="str">
        <f>"200"</f>
        <v>200</v>
      </c>
      <c r="AJ353" t="str">
        <f>"S-SM-2-34"</f>
        <v>S-SM-2-34</v>
      </c>
      <c r="AK353" t="str">
        <f>"10245"</f>
        <v>10245</v>
      </c>
      <c r="AL353" t="str">
        <f t="shared" si="353"/>
        <v>0370</v>
      </c>
      <c r="AM353" t="str">
        <f t="shared" si="354"/>
        <v>ｼﾑ</v>
      </c>
      <c r="AN353" t="str">
        <f t="shared" si="332"/>
        <v>012</v>
      </c>
      <c r="AO353" t="str">
        <f t="shared" si="333"/>
        <v>TP-131 ﾊﾝﾖｳ</v>
      </c>
      <c r="AP353">
        <v>100</v>
      </c>
      <c r="AQ353" t="str">
        <f>""</f>
        <v/>
      </c>
      <c r="AR353" t="str">
        <f>""</f>
        <v/>
      </c>
      <c r="AS353" t="str">
        <f>""</f>
        <v/>
      </c>
      <c r="AT353" t="str">
        <f t="shared" si="334"/>
        <v>00</v>
      </c>
      <c r="AU353">
        <v>0.5</v>
      </c>
      <c r="AV353" t="str">
        <f>""</f>
        <v/>
      </c>
      <c r="AW353" t="str">
        <f t="shared" si="355"/>
        <v>06</v>
      </c>
      <c r="AX353" t="str">
        <f t="shared" si="356"/>
        <v>計画</v>
      </c>
      <c r="AY353" t="str">
        <f t="shared" si="357"/>
        <v>02</v>
      </c>
      <c r="AZ353" t="str">
        <f t="shared" si="358"/>
        <v>計画・２社</v>
      </c>
      <c r="BA353" t="str">
        <f>""</f>
        <v/>
      </c>
      <c r="BB353" t="str">
        <f t="shared" si="335"/>
        <v>ＴＰ１３１フタナシ</v>
      </c>
      <c r="BC353" t="str">
        <f t="shared" si="336"/>
        <v xml:space="preserve"> 335.000</v>
      </c>
      <c r="BD353" t="str">
        <f t="shared" si="337"/>
        <v xml:space="preserve"> 168.000</v>
      </c>
      <c r="BE353" t="str">
        <f t="shared" si="338"/>
        <v xml:space="preserve"> 103.000</v>
      </c>
      <c r="BF353" t="str">
        <f t="shared" si="339"/>
        <v xml:space="preserve">   0.006</v>
      </c>
      <c r="BG353" t="str">
        <f t="shared" si="363"/>
        <v xml:space="preserve">   6.500</v>
      </c>
      <c r="BH353" t="str">
        <f t="shared" si="324"/>
        <v>しない</v>
      </c>
      <c r="BI353" t="str">
        <f>""</f>
        <v/>
      </c>
      <c r="BJ353" t="str">
        <f t="shared" si="362"/>
        <v>MASTER01</v>
      </c>
      <c r="BK353" t="str">
        <f t="shared" si="327"/>
        <v>2022/04/19</v>
      </c>
      <c r="BL353" t="str">
        <f t="shared" si="350"/>
        <v>NE00</v>
      </c>
      <c r="BM353" t="str">
        <f t="shared" si="351"/>
        <v>１工工務Ｇ</v>
      </c>
      <c r="BN353" t="str">
        <f t="shared" si="359"/>
        <v>46548</v>
      </c>
      <c r="BO353" t="str">
        <f t="shared" si="360"/>
        <v>長畑　玲奈</v>
      </c>
    </row>
    <row r="354" spans="1:67">
      <c r="A354" t="s">
        <v>436</v>
      </c>
      <c r="B354" t="str">
        <f>""</f>
        <v/>
      </c>
      <c r="C354" t="str">
        <f>""</f>
        <v/>
      </c>
      <c r="D354" t="str">
        <f t="shared" si="352"/>
        <v>SHIM</v>
      </c>
      <c r="E354" t="str">
        <f t="shared" si="340"/>
        <v>1Y</v>
      </c>
      <c r="F354" t="str">
        <f t="shared" si="341"/>
        <v>第１工場</v>
      </c>
      <c r="G354" t="str">
        <f t="shared" si="342"/>
        <v>手配</v>
      </c>
      <c r="H354" t="str">
        <f t="shared" si="343"/>
        <v>Ｐ</v>
      </c>
      <c r="I354" t="str">
        <f t="shared" si="328"/>
        <v>6454</v>
      </c>
      <c r="J354" t="str">
        <f t="shared" si="329"/>
        <v>（株）ムロコーポレーション</v>
      </c>
      <c r="K354" t="str">
        <f t="shared" si="326"/>
        <v>01</v>
      </c>
      <c r="L354" t="str">
        <f>""</f>
        <v/>
      </c>
      <c r="M354" t="str">
        <f t="shared" si="325"/>
        <v>――</v>
      </c>
      <c r="N354" t="str">
        <f t="shared" si="325"/>
        <v>――</v>
      </c>
      <c r="O354" t="str">
        <f t="shared" si="344"/>
        <v>Ｍ</v>
      </c>
      <c r="P354" t="str">
        <f t="shared" si="345"/>
        <v>01</v>
      </c>
      <c r="Q354" t="str">
        <f t="shared" si="346"/>
        <v>第１</v>
      </c>
      <c r="R354" t="str">
        <f t="shared" si="347"/>
        <v>1Y</v>
      </c>
      <c r="S354" t="str">
        <f t="shared" si="348"/>
        <v>安城第１工場</v>
      </c>
      <c r="T354" t="str">
        <f t="shared" si="349"/>
        <v>直接</v>
      </c>
      <c r="U354" t="str">
        <f>""</f>
        <v/>
      </c>
      <c r="V354" t="str">
        <f>""</f>
        <v/>
      </c>
      <c r="W354" t="str">
        <f>""</f>
        <v/>
      </c>
      <c r="X354">
        <v>1</v>
      </c>
      <c r="Y354">
        <v>1</v>
      </c>
      <c r="Z354">
        <v>0.73</v>
      </c>
      <c r="AA354">
        <v>0.93</v>
      </c>
      <c r="AB354">
        <v>3</v>
      </c>
      <c r="AC354">
        <v>0.93</v>
      </c>
      <c r="AD354">
        <v>0.93</v>
      </c>
      <c r="AE354">
        <v>1.1000000000000001</v>
      </c>
      <c r="AF354">
        <v>0.5</v>
      </c>
      <c r="AG354" t="str">
        <f t="shared" si="330"/>
        <v>205</v>
      </c>
      <c r="AH354" t="str">
        <f t="shared" si="331"/>
        <v>（株）ムロコーポレーション</v>
      </c>
      <c r="AI354" t="str">
        <f>"201"</f>
        <v>201</v>
      </c>
      <c r="AJ354" t="str">
        <f>"S-SM-2-35"</f>
        <v>S-SM-2-35</v>
      </c>
      <c r="AK354" t="str">
        <f>"10246"</f>
        <v>10246</v>
      </c>
      <c r="AL354" t="str">
        <f t="shared" si="353"/>
        <v>0370</v>
      </c>
      <c r="AM354" t="str">
        <f t="shared" si="354"/>
        <v>ｼﾑ</v>
      </c>
      <c r="AN354" t="str">
        <f t="shared" si="332"/>
        <v>012</v>
      </c>
      <c r="AO354" t="str">
        <f t="shared" si="333"/>
        <v>TP-131 ﾊﾝﾖｳ</v>
      </c>
      <c r="AP354">
        <v>100</v>
      </c>
      <c r="AQ354" t="str">
        <f>""</f>
        <v/>
      </c>
      <c r="AR354" t="str">
        <f>""</f>
        <v/>
      </c>
      <c r="AS354" t="str">
        <f>""</f>
        <v/>
      </c>
      <c r="AT354" t="str">
        <f t="shared" si="334"/>
        <v>00</v>
      </c>
      <c r="AU354">
        <v>0.5</v>
      </c>
      <c r="AV354" t="str">
        <f>""</f>
        <v/>
      </c>
      <c r="AW354" t="str">
        <f t="shared" si="355"/>
        <v>06</v>
      </c>
      <c r="AX354" t="str">
        <f t="shared" si="356"/>
        <v>計画</v>
      </c>
      <c r="AY354" t="str">
        <f t="shared" si="357"/>
        <v>02</v>
      </c>
      <c r="AZ354" t="str">
        <f t="shared" si="358"/>
        <v>計画・２社</v>
      </c>
      <c r="BA354" t="str">
        <f>""</f>
        <v/>
      </c>
      <c r="BB354" t="str">
        <f t="shared" si="335"/>
        <v>ＴＰ１３１フタナシ</v>
      </c>
      <c r="BC354" t="str">
        <f t="shared" si="336"/>
        <v xml:space="preserve"> 335.000</v>
      </c>
      <c r="BD354" t="str">
        <f t="shared" si="337"/>
        <v xml:space="preserve"> 168.000</v>
      </c>
      <c r="BE354" t="str">
        <f t="shared" si="338"/>
        <v xml:space="preserve"> 103.000</v>
      </c>
      <c r="BF354" t="str">
        <f t="shared" si="339"/>
        <v xml:space="preserve">   0.006</v>
      </c>
      <c r="BG354" t="str">
        <f t="shared" si="363"/>
        <v xml:space="preserve">   6.500</v>
      </c>
      <c r="BH354" t="str">
        <f t="shared" si="324"/>
        <v>しない</v>
      </c>
      <c r="BI354" t="str">
        <f>""</f>
        <v/>
      </c>
      <c r="BJ354" t="str">
        <f t="shared" si="362"/>
        <v>MASTER01</v>
      </c>
      <c r="BK354" t="str">
        <f t="shared" si="327"/>
        <v>2022/04/19</v>
      </c>
      <c r="BL354" t="str">
        <f t="shared" si="350"/>
        <v>NE00</v>
      </c>
      <c r="BM354" t="str">
        <f t="shared" si="351"/>
        <v>１工工務Ｇ</v>
      </c>
      <c r="BN354" t="str">
        <f t="shared" si="359"/>
        <v>46548</v>
      </c>
      <c r="BO354" t="str">
        <f t="shared" si="360"/>
        <v>長畑　玲奈</v>
      </c>
    </row>
    <row r="355" spans="1:67">
      <c r="A355" t="s">
        <v>437</v>
      </c>
      <c r="B355" t="str">
        <f>""</f>
        <v/>
      </c>
      <c r="C355" t="str">
        <f>""</f>
        <v/>
      </c>
      <c r="D355" t="str">
        <f t="shared" si="352"/>
        <v>SHIM</v>
      </c>
      <c r="E355" t="str">
        <f t="shared" si="340"/>
        <v>1Y</v>
      </c>
      <c r="F355" t="str">
        <f t="shared" si="341"/>
        <v>第１工場</v>
      </c>
      <c r="G355" t="str">
        <f t="shared" si="342"/>
        <v>手配</v>
      </c>
      <c r="H355" t="str">
        <f t="shared" si="343"/>
        <v>Ｐ</v>
      </c>
      <c r="I355" t="str">
        <f t="shared" si="328"/>
        <v>6454</v>
      </c>
      <c r="J355" t="str">
        <f t="shared" si="329"/>
        <v>（株）ムロコーポレーション</v>
      </c>
      <c r="K355" t="str">
        <f t="shared" si="326"/>
        <v>01</v>
      </c>
      <c r="L355" t="str">
        <f>""</f>
        <v/>
      </c>
      <c r="M355" t="str">
        <f t="shared" si="325"/>
        <v>――</v>
      </c>
      <c r="N355" t="str">
        <f t="shared" si="325"/>
        <v>――</v>
      </c>
      <c r="O355" t="str">
        <f t="shared" si="344"/>
        <v>Ｍ</v>
      </c>
      <c r="P355" t="str">
        <f t="shared" si="345"/>
        <v>01</v>
      </c>
      <c r="Q355" t="str">
        <f t="shared" si="346"/>
        <v>第１</v>
      </c>
      <c r="R355" t="str">
        <f t="shared" si="347"/>
        <v>1Y</v>
      </c>
      <c r="S355" t="str">
        <f t="shared" si="348"/>
        <v>安城第１工場</v>
      </c>
      <c r="T355" t="str">
        <f t="shared" si="349"/>
        <v>直接</v>
      </c>
      <c r="U355" t="str">
        <f>""</f>
        <v/>
      </c>
      <c r="V355" t="str">
        <f>""</f>
        <v/>
      </c>
      <c r="W355" t="str">
        <f>""</f>
        <v/>
      </c>
      <c r="X355">
        <v>1</v>
      </c>
      <c r="Y355">
        <v>1</v>
      </c>
      <c r="Z355">
        <v>0.73</v>
      </c>
      <c r="AA355">
        <v>0.93</v>
      </c>
      <c r="AB355">
        <v>3</v>
      </c>
      <c r="AC355">
        <v>0.93</v>
      </c>
      <c r="AD355">
        <v>0.93</v>
      </c>
      <c r="AE355">
        <v>1.1000000000000001</v>
      </c>
      <c r="AF355">
        <v>0.5</v>
      </c>
      <c r="AG355" t="str">
        <f t="shared" si="330"/>
        <v>205</v>
      </c>
      <c r="AH355" t="str">
        <f t="shared" si="331"/>
        <v>（株）ムロコーポレーション</v>
      </c>
      <c r="AI355" t="str">
        <f>"202"</f>
        <v>202</v>
      </c>
      <c r="AJ355" t="str">
        <f>"S-SM-2-36"</f>
        <v>S-SM-2-36</v>
      </c>
      <c r="AK355" t="str">
        <f>"10247"</f>
        <v>10247</v>
      </c>
      <c r="AL355" t="str">
        <f t="shared" si="353"/>
        <v>0370</v>
      </c>
      <c r="AM355" t="str">
        <f t="shared" si="354"/>
        <v>ｼﾑ</v>
      </c>
      <c r="AN355" t="str">
        <f t="shared" si="332"/>
        <v>012</v>
      </c>
      <c r="AO355" t="str">
        <f t="shared" si="333"/>
        <v>TP-131 ﾊﾝﾖｳ</v>
      </c>
      <c r="AP355">
        <v>100</v>
      </c>
      <c r="AQ355" t="str">
        <f>""</f>
        <v/>
      </c>
      <c r="AR355" t="str">
        <f>""</f>
        <v/>
      </c>
      <c r="AS355" t="str">
        <f>""</f>
        <v/>
      </c>
      <c r="AT355" t="str">
        <f t="shared" si="334"/>
        <v>00</v>
      </c>
      <c r="AU355">
        <v>0.5</v>
      </c>
      <c r="AV355" t="str">
        <f>""</f>
        <v/>
      </c>
      <c r="AW355" t="str">
        <f t="shared" si="355"/>
        <v>06</v>
      </c>
      <c r="AX355" t="str">
        <f t="shared" si="356"/>
        <v>計画</v>
      </c>
      <c r="AY355" t="str">
        <f t="shared" si="357"/>
        <v>02</v>
      </c>
      <c r="AZ355" t="str">
        <f t="shared" si="358"/>
        <v>計画・２社</v>
      </c>
      <c r="BA355" t="str">
        <f>""</f>
        <v/>
      </c>
      <c r="BB355" t="str">
        <f t="shared" si="335"/>
        <v>ＴＰ１３１フタナシ</v>
      </c>
      <c r="BC355" t="str">
        <f t="shared" si="336"/>
        <v xml:space="preserve"> 335.000</v>
      </c>
      <c r="BD355" t="str">
        <f t="shared" si="337"/>
        <v xml:space="preserve"> 168.000</v>
      </c>
      <c r="BE355" t="str">
        <f t="shared" si="338"/>
        <v xml:space="preserve"> 103.000</v>
      </c>
      <c r="BF355" t="str">
        <f t="shared" si="339"/>
        <v xml:space="preserve">   0.006</v>
      </c>
      <c r="BG355" t="str">
        <f t="shared" si="363"/>
        <v xml:space="preserve">   6.500</v>
      </c>
      <c r="BH355" t="str">
        <f t="shared" ref="BH355:BH418" si="364">"しない"</f>
        <v>しない</v>
      </c>
      <c r="BI355" t="str">
        <f>""</f>
        <v/>
      </c>
      <c r="BJ355" t="str">
        <f t="shared" si="362"/>
        <v>MASTER01</v>
      </c>
      <c r="BK355" t="str">
        <f t="shared" si="327"/>
        <v>2022/04/19</v>
      </c>
      <c r="BL355" t="str">
        <f t="shared" si="350"/>
        <v>NE00</v>
      </c>
      <c r="BM355" t="str">
        <f t="shared" si="351"/>
        <v>１工工務Ｇ</v>
      </c>
      <c r="BN355" t="str">
        <f t="shared" si="359"/>
        <v>46548</v>
      </c>
      <c r="BO355" t="str">
        <f t="shared" si="360"/>
        <v>長畑　玲奈</v>
      </c>
    </row>
    <row r="356" spans="1:67">
      <c r="A356" t="s">
        <v>438</v>
      </c>
      <c r="B356" t="str">
        <f>""</f>
        <v/>
      </c>
      <c r="C356" t="str">
        <f>""</f>
        <v/>
      </c>
      <c r="D356" t="str">
        <f t="shared" si="352"/>
        <v>SHIM</v>
      </c>
      <c r="E356" t="str">
        <f t="shared" si="340"/>
        <v>1Y</v>
      </c>
      <c r="F356" t="str">
        <f t="shared" si="341"/>
        <v>第１工場</v>
      </c>
      <c r="G356" t="str">
        <f t="shared" si="342"/>
        <v>手配</v>
      </c>
      <c r="H356" t="str">
        <f t="shared" si="343"/>
        <v>Ｐ</v>
      </c>
      <c r="I356" t="str">
        <f t="shared" si="328"/>
        <v>6454</v>
      </c>
      <c r="J356" t="str">
        <f t="shared" si="329"/>
        <v>（株）ムロコーポレーション</v>
      </c>
      <c r="K356" t="str">
        <f t="shared" si="326"/>
        <v>01</v>
      </c>
      <c r="L356" t="str">
        <f>""</f>
        <v/>
      </c>
      <c r="M356" t="str">
        <f t="shared" si="325"/>
        <v>――</v>
      </c>
      <c r="N356" t="str">
        <f t="shared" si="325"/>
        <v>――</v>
      </c>
      <c r="O356" t="str">
        <f t="shared" si="344"/>
        <v>Ｍ</v>
      </c>
      <c r="P356" t="str">
        <f t="shared" si="345"/>
        <v>01</v>
      </c>
      <c r="Q356" t="str">
        <f t="shared" si="346"/>
        <v>第１</v>
      </c>
      <c r="R356" t="str">
        <f t="shared" si="347"/>
        <v>1Y</v>
      </c>
      <c r="S356" t="str">
        <f t="shared" si="348"/>
        <v>安城第１工場</v>
      </c>
      <c r="T356" t="str">
        <f t="shared" si="349"/>
        <v>直接</v>
      </c>
      <c r="U356" t="str">
        <f>""</f>
        <v/>
      </c>
      <c r="V356" t="str">
        <f>""</f>
        <v/>
      </c>
      <c r="W356" t="str">
        <f>""</f>
        <v/>
      </c>
      <c r="X356">
        <v>1</v>
      </c>
      <c r="Y356">
        <v>1</v>
      </c>
      <c r="Z356">
        <v>0.73</v>
      </c>
      <c r="AA356">
        <v>0.93</v>
      </c>
      <c r="AB356">
        <v>3</v>
      </c>
      <c r="AC356">
        <v>0.93</v>
      </c>
      <c r="AD356">
        <v>0.93</v>
      </c>
      <c r="AE356">
        <v>1.1000000000000001</v>
      </c>
      <c r="AF356">
        <v>0.5</v>
      </c>
      <c r="AG356" t="str">
        <f t="shared" si="330"/>
        <v>205</v>
      </c>
      <c r="AH356" t="str">
        <f t="shared" si="331"/>
        <v>（株）ムロコーポレーション</v>
      </c>
      <c r="AI356" t="str">
        <f>"203"</f>
        <v>203</v>
      </c>
      <c r="AJ356" t="str">
        <f>"S-SM-2-37"</f>
        <v>S-SM-2-37</v>
      </c>
      <c r="AK356" t="str">
        <f>"10248"</f>
        <v>10248</v>
      </c>
      <c r="AL356" t="str">
        <f t="shared" si="353"/>
        <v>0370</v>
      </c>
      <c r="AM356" t="str">
        <f t="shared" si="354"/>
        <v>ｼﾑ</v>
      </c>
      <c r="AN356" t="str">
        <f t="shared" si="332"/>
        <v>012</v>
      </c>
      <c r="AO356" t="str">
        <f t="shared" si="333"/>
        <v>TP-131 ﾊﾝﾖｳ</v>
      </c>
      <c r="AP356">
        <v>100</v>
      </c>
      <c r="AQ356" t="str">
        <f>""</f>
        <v/>
      </c>
      <c r="AR356" t="str">
        <f>""</f>
        <v/>
      </c>
      <c r="AS356" t="str">
        <f>""</f>
        <v/>
      </c>
      <c r="AT356" t="str">
        <f t="shared" si="334"/>
        <v>00</v>
      </c>
      <c r="AU356">
        <v>0.5</v>
      </c>
      <c r="AV356" t="str">
        <f>""</f>
        <v/>
      </c>
      <c r="AW356" t="str">
        <f t="shared" si="355"/>
        <v>06</v>
      </c>
      <c r="AX356" t="str">
        <f t="shared" si="356"/>
        <v>計画</v>
      </c>
      <c r="AY356" t="str">
        <f t="shared" si="357"/>
        <v>02</v>
      </c>
      <c r="AZ356" t="str">
        <f t="shared" si="358"/>
        <v>計画・２社</v>
      </c>
      <c r="BA356" t="str">
        <f>""</f>
        <v/>
      </c>
      <c r="BB356" t="str">
        <f t="shared" si="335"/>
        <v>ＴＰ１３１フタナシ</v>
      </c>
      <c r="BC356" t="str">
        <f t="shared" si="336"/>
        <v xml:space="preserve"> 335.000</v>
      </c>
      <c r="BD356" t="str">
        <f t="shared" si="337"/>
        <v xml:space="preserve"> 168.000</v>
      </c>
      <c r="BE356" t="str">
        <f t="shared" si="338"/>
        <v xml:space="preserve"> 103.000</v>
      </c>
      <c r="BF356" t="str">
        <f t="shared" si="339"/>
        <v xml:space="preserve">   0.006</v>
      </c>
      <c r="BG356" t="str">
        <f t="shared" si="363"/>
        <v xml:space="preserve">   6.500</v>
      </c>
      <c r="BH356" t="str">
        <f t="shared" si="364"/>
        <v>しない</v>
      </c>
      <c r="BI356" t="str">
        <f>""</f>
        <v/>
      </c>
      <c r="BJ356" t="str">
        <f t="shared" si="362"/>
        <v>MASTER01</v>
      </c>
      <c r="BK356" t="str">
        <f t="shared" si="327"/>
        <v>2022/04/19</v>
      </c>
      <c r="BL356" t="str">
        <f t="shared" si="350"/>
        <v>NE00</v>
      </c>
      <c r="BM356" t="str">
        <f t="shared" si="351"/>
        <v>１工工務Ｇ</v>
      </c>
      <c r="BN356" t="str">
        <f t="shared" si="359"/>
        <v>46548</v>
      </c>
      <c r="BO356" t="str">
        <f t="shared" si="360"/>
        <v>長畑　玲奈</v>
      </c>
    </row>
    <row r="357" spans="1:67">
      <c r="A357" t="s">
        <v>439</v>
      </c>
      <c r="B357" t="str">
        <f>""</f>
        <v/>
      </c>
      <c r="C357" t="str">
        <f>""</f>
        <v/>
      </c>
      <c r="D357" t="str">
        <f t="shared" si="352"/>
        <v>SHIM</v>
      </c>
      <c r="E357" t="str">
        <f t="shared" si="340"/>
        <v>1Y</v>
      </c>
      <c r="F357" t="str">
        <f t="shared" si="341"/>
        <v>第１工場</v>
      </c>
      <c r="G357" t="str">
        <f t="shared" si="342"/>
        <v>手配</v>
      </c>
      <c r="H357" t="str">
        <f t="shared" si="343"/>
        <v>Ｐ</v>
      </c>
      <c r="I357" t="str">
        <f t="shared" si="328"/>
        <v>6454</v>
      </c>
      <c r="J357" t="str">
        <f t="shared" si="329"/>
        <v>（株）ムロコーポレーション</v>
      </c>
      <c r="K357" t="str">
        <f t="shared" si="326"/>
        <v>01</v>
      </c>
      <c r="L357" t="str">
        <f>""</f>
        <v/>
      </c>
      <c r="M357" t="str">
        <f t="shared" ref="M357:N420" si="365">"――"</f>
        <v>――</v>
      </c>
      <c r="N357" t="str">
        <f t="shared" si="365"/>
        <v>――</v>
      </c>
      <c r="O357" t="str">
        <f t="shared" si="344"/>
        <v>Ｍ</v>
      </c>
      <c r="P357" t="str">
        <f t="shared" si="345"/>
        <v>01</v>
      </c>
      <c r="Q357" t="str">
        <f t="shared" si="346"/>
        <v>第１</v>
      </c>
      <c r="R357" t="str">
        <f t="shared" si="347"/>
        <v>1Y</v>
      </c>
      <c r="S357" t="str">
        <f t="shared" si="348"/>
        <v>安城第１工場</v>
      </c>
      <c r="T357" t="str">
        <f t="shared" si="349"/>
        <v>直接</v>
      </c>
      <c r="U357" t="str">
        <f>""</f>
        <v/>
      </c>
      <c r="V357" t="str">
        <f>""</f>
        <v/>
      </c>
      <c r="W357" t="str">
        <f>""</f>
        <v/>
      </c>
      <c r="X357">
        <v>1</v>
      </c>
      <c r="Y357">
        <v>1</v>
      </c>
      <c r="Z357">
        <v>0.73</v>
      </c>
      <c r="AA357">
        <v>0.93</v>
      </c>
      <c r="AB357">
        <v>3</v>
      </c>
      <c r="AC357">
        <v>0.93</v>
      </c>
      <c r="AD357">
        <v>0.93</v>
      </c>
      <c r="AE357">
        <v>1.1000000000000001</v>
      </c>
      <c r="AF357">
        <v>0.5</v>
      </c>
      <c r="AG357" t="str">
        <f t="shared" si="330"/>
        <v>205</v>
      </c>
      <c r="AH357" t="str">
        <f t="shared" si="331"/>
        <v>（株）ムロコーポレーション</v>
      </c>
      <c r="AI357" t="str">
        <f>"204"</f>
        <v>204</v>
      </c>
      <c r="AJ357" t="str">
        <f>"S-SM-2-38"</f>
        <v>S-SM-2-38</v>
      </c>
      <c r="AK357" t="str">
        <f>"10249"</f>
        <v>10249</v>
      </c>
      <c r="AL357" t="str">
        <f t="shared" si="353"/>
        <v>0370</v>
      </c>
      <c r="AM357" t="str">
        <f t="shared" si="354"/>
        <v>ｼﾑ</v>
      </c>
      <c r="AN357" t="str">
        <f t="shared" si="332"/>
        <v>012</v>
      </c>
      <c r="AO357" t="str">
        <f t="shared" si="333"/>
        <v>TP-131 ﾊﾝﾖｳ</v>
      </c>
      <c r="AP357">
        <v>100</v>
      </c>
      <c r="AQ357" t="str">
        <f>""</f>
        <v/>
      </c>
      <c r="AR357" t="str">
        <f>""</f>
        <v/>
      </c>
      <c r="AS357" t="str">
        <f>""</f>
        <v/>
      </c>
      <c r="AT357" t="str">
        <f t="shared" si="334"/>
        <v>00</v>
      </c>
      <c r="AU357">
        <v>0.5</v>
      </c>
      <c r="AV357" t="str">
        <f>""</f>
        <v/>
      </c>
      <c r="AW357" t="str">
        <f t="shared" si="355"/>
        <v>06</v>
      </c>
      <c r="AX357" t="str">
        <f t="shared" si="356"/>
        <v>計画</v>
      </c>
      <c r="AY357" t="str">
        <f t="shared" si="357"/>
        <v>02</v>
      </c>
      <c r="AZ357" t="str">
        <f t="shared" si="358"/>
        <v>計画・２社</v>
      </c>
      <c r="BA357" t="str">
        <f>""</f>
        <v/>
      </c>
      <c r="BB357" t="str">
        <f t="shared" si="335"/>
        <v>ＴＰ１３１フタナシ</v>
      </c>
      <c r="BC357" t="str">
        <f t="shared" si="336"/>
        <v xml:space="preserve"> 335.000</v>
      </c>
      <c r="BD357" t="str">
        <f t="shared" si="337"/>
        <v xml:space="preserve"> 168.000</v>
      </c>
      <c r="BE357" t="str">
        <f t="shared" si="338"/>
        <v xml:space="preserve"> 103.000</v>
      </c>
      <c r="BF357" t="str">
        <f t="shared" si="339"/>
        <v xml:space="preserve">   0.006</v>
      </c>
      <c r="BG357" t="str">
        <f t="shared" si="363"/>
        <v xml:space="preserve">   6.500</v>
      </c>
      <c r="BH357" t="str">
        <f t="shared" si="364"/>
        <v>しない</v>
      </c>
      <c r="BI357" t="str">
        <f>""</f>
        <v/>
      </c>
      <c r="BJ357" t="str">
        <f t="shared" si="362"/>
        <v>MASTER01</v>
      </c>
      <c r="BK357" t="str">
        <f t="shared" si="327"/>
        <v>2022/04/19</v>
      </c>
      <c r="BL357" t="str">
        <f t="shared" si="350"/>
        <v>NE00</v>
      </c>
      <c r="BM357" t="str">
        <f t="shared" si="351"/>
        <v>１工工務Ｇ</v>
      </c>
      <c r="BN357" t="str">
        <f t="shared" si="359"/>
        <v>46548</v>
      </c>
      <c r="BO357" t="str">
        <f t="shared" si="360"/>
        <v>長畑　玲奈</v>
      </c>
    </row>
    <row r="358" spans="1:67">
      <c r="A358" t="s">
        <v>440</v>
      </c>
      <c r="B358" t="str">
        <f>""</f>
        <v/>
      </c>
      <c r="C358" t="str">
        <f>""</f>
        <v/>
      </c>
      <c r="D358" t="str">
        <f t="shared" si="352"/>
        <v>SHIM</v>
      </c>
      <c r="E358" t="str">
        <f t="shared" si="340"/>
        <v>1Y</v>
      </c>
      <c r="F358" t="str">
        <f t="shared" si="341"/>
        <v>第１工場</v>
      </c>
      <c r="G358" t="str">
        <f t="shared" si="342"/>
        <v>手配</v>
      </c>
      <c r="H358" t="str">
        <f t="shared" si="343"/>
        <v>Ｐ</v>
      </c>
      <c r="I358" t="str">
        <f t="shared" si="328"/>
        <v>6454</v>
      </c>
      <c r="J358" t="str">
        <f t="shared" si="329"/>
        <v>（株）ムロコーポレーション</v>
      </c>
      <c r="K358" t="str">
        <f t="shared" si="326"/>
        <v>01</v>
      </c>
      <c r="L358" t="str">
        <f>""</f>
        <v/>
      </c>
      <c r="M358" t="str">
        <f t="shared" si="365"/>
        <v>――</v>
      </c>
      <c r="N358" t="str">
        <f t="shared" si="365"/>
        <v>――</v>
      </c>
      <c r="O358" t="str">
        <f t="shared" si="344"/>
        <v>Ｍ</v>
      </c>
      <c r="P358" t="str">
        <f t="shared" si="345"/>
        <v>01</v>
      </c>
      <c r="Q358" t="str">
        <f t="shared" si="346"/>
        <v>第１</v>
      </c>
      <c r="R358" t="str">
        <f t="shared" si="347"/>
        <v>1Y</v>
      </c>
      <c r="S358" t="str">
        <f t="shared" si="348"/>
        <v>安城第１工場</v>
      </c>
      <c r="T358" t="str">
        <f t="shared" si="349"/>
        <v>直接</v>
      </c>
      <c r="U358" t="str">
        <f>""</f>
        <v/>
      </c>
      <c r="V358" t="str">
        <f>""</f>
        <v/>
      </c>
      <c r="W358" t="str">
        <f>""</f>
        <v/>
      </c>
      <c r="X358">
        <v>1</v>
      </c>
      <c r="Y358">
        <v>1</v>
      </c>
      <c r="Z358">
        <v>0.73</v>
      </c>
      <c r="AA358">
        <v>0.93</v>
      </c>
      <c r="AB358">
        <v>3</v>
      </c>
      <c r="AC358">
        <v>0.93</v>
      </c>
      <c r="AD358">
        <v>0.93</v>
      </c>
      <c r="AE358">
        <v>1.1000000000000001</v>
      </c>
      <c r="AF358">
        <v>0.5</v>
      </c>
      <c r="AG358" t="str">
        <f t="shared" si="330"/>
        <v>205</v>
      </c>
      <c r="AH358" t="str">
        <f t="shared" si="331"/>
        <v>（株）ムロコーポレーション</v>
      </c>
      <c r="AI358" t="str">
        <f>"205"</f>
        <v>205</v>
      </c>
      <c r="AJ358" t="str">
        <f>"S-SM-2-39"</f>
        <v>S-SM-2-39</v>
      </c>
      <c r="AK358" t="str">
        <f>"10250"</f>
        <v>10250</v>
      </c>
      <c r="AL358" t="str">
        <f t="shared" si="353"/>
        <v>0370</v>
      </c>
      <c r="AM358" t="str">
        <f t="shared" si="354"/>
        <v>ｼﾑ</v>
      </c>
      <c r="AN358" t="str">
        <f t="shared" si="332"/>
        <v>012</v>
      </c>
      <c r="AO358" t="str">
        <f t="shared" si="333"/>
        <v>TP-131 ﾊﾝﾖｳ</v>
      </c>
      <c r="AP358">
        <v>100</v>
      </c>
      <c r="AQ358" t="str">
        <f>""</f>
        <v/>
      </c>
      <c r="AR358" t="str">
        <f>""</f>
        <v/>
      </c>
      <c r="AS358" t="str">
        <f>""</f>
        <v/>
      </c>
      <c r="AT358" t="str">
        <f t="shared" si="334"/>
        <v>00</v>
      </c>
      <c r="AU358">
        <v>0.5</v>
      </c>
      <c r="AV358" t="str">
        <f>""</f>
        <v/>
      </c>
      <c r="AW358" t="str">
        <f t="shared" si="355"/>
        <v>06</v>
      </c>
      <c r="AX358" t="str">
        <f t="shared" si="356"/>
        <v>計画</v>
      </c>
      <c r="AY358" t="str">
        <f t="shared" si="357"/>
        <v>02</v>
      </c>
      <c r="AZ358" t="str">
        <f t="shared" si="358"/>
        <v>計画・２社</v>
      </c>
      <c r="BA358" t="str">
        <f>""</f>
        <v/>
      </c>
      <c r="BB358" t="str">
        <f t="shared" si="335"/>
        <v>ＴＰ１３１フタナシ</v>
      </c>
      <c r="BC358" t="str">
        <f t="shared" si="336"/>
        <v xml:space="preserve"> 335.000</v>
      </c>
      <c r="BD358" t="str">
        <f t="shared" si="337"/>
        <v xml:space="preserve"> 168.000</v>
      </c>
      <c r="BE358" t="str">
        <f t="shared" si="338"/>
        <v xml:space="preserve"> 103.000</v>
      </c>
      <c r="BF358" t="str">
        <f t="shared" si="339"/>
        <v xml:space="preserve">   0.006</v>
      </c>
      <c r="BG358" t="str">
        <f t="shared" si="363"/>
        <v xml:space="preserve">   6.500</v>
      </c>
      <c r="BH358" t="str">
        <f t="shared" si="364"/>
        <v>しない</v>
      </c>
      <c r="BI358" t="str">
        <f>""</f>
        <v/>
      </c>
      <c r="BJ358" t="str">
        <f t="shared" si="362"/>
        <v>MASTER01</v>
      </c>
      <c r="BK358" t="str">
        <f t="shared" si="327"/>
        <v>2022/04/19</v>
      </c>
      <c r="BL358" t="str">
        <f t="shared" si="350"/>
        <v>NE00</v>
      </c>
      <c r="BM358" t="str">
        <f t="shared" si="351"/>
        <v>１工工務Ｇ</v>
      </c>
      <c r="BN358" t="str">
        <f t="shared" si="359"/>
        <v>46548</v>
      </c>
      <c r="BO358" t="str">
        <f t="shared" si="360"/>
        <v>長畑　玲奈</v>
      </c>
    </row>
    <row r="359" spans="1:67">
      <c r="A359" t="s">
        <v>441</v>
      </c>
      <c r="B359" t="str">
        <f>""</f>
        <v/>
      </c>
      <c r="C359" t="str">
        <f>""</f>
        <v/>
      </c>
      <c r="D359" t="str">
        <f t="shared" si="352"/>
        <v>SHIM</v>
      </c>
      <c r="E359" t="str">
        <f t="shared" si="340"/>
        <v>1Y</v>
      </c>
      <c r="F359" t="str">
        <f t="shared" si="341"/>
        <v>第１工場</v>
      </c>
      <c r="G359" t="str">
        <f t="shared" si="342"/>
        <v>手配</v>
      </c>
      <c r="H359" t="str">
        <f t="shared" si="343"/>
        <v>Ｐ</v>
      </c>
      <c r="I359" t="str">
        <f t="shared" si="328"/>
        <v>6454</v>
      </c>
      <c r="J359" t="str">
        <f t="shared" si="329"/>
        <v>（株）ムロコーポレーション</v>
      </c>
      <c r="K359" t="str">
        <f t="shared" si="326"/>
        <v>01</v>
      </c>
      <c r="L359" t="str">
        <f>""</f>
        <v/>
      </c>
      <c r="M359" t="str">
        <f t="shared" si="365"/>
        <v>――</v>
      </c>
      <c r="N359" t="str">
        <f t="shared" si="365"/>
        <v>――</v>
      </c>
      <c r="O359" t="str">
        <f t="shared" si="344"/>
        <v>Ｍ</v>
      </c>
      <c r="P359" t="str">
        <f t="shared" si="345"/>
        <v>01</v>
      </c>
      <c r="Q359" t="str">
        <f t="shared" si="346"/>
        <v>第１</v>
      </c>
      <c r="R359" t="str">
        <f t="shared" si="347"/>
        <v>1Y</v>
      </c>
      <c r="S359" t="str">
        <f t="shared" si="348"/>
        <v>安城第１工場</v>
      </c>
      <c r="T359" t="str">
        <f t="shared" si="349"/>
        <v>直接</v>
      </c>
      <c r="U359" t="str">
        <f>""</f>
        <v/>
      </c>
      <c r="V359" t="str">
        <f>""</f>
        <v/>
      </c>
      <c r="W359" t="str">
        <f>""</f>
        <v/>
      </c>
      <c r="X359">
        <v>1</v>
      </c>
      <c r="Y359">
        <v>1</v>
      </c>
      <c r="Z359">
        <v>0.73</v>
      </c>
      <c r="AA359">
        <v>0.93</v>
      </c>
      <c r="AB359">
        <v>3</v>
      </c>
      <c r="AC359">
        <v>0.93</v>
      </c>
      <c r="AD359">
        <v>0.93</v>
      </c>
      <c r="AE359">
        <v>1.1000000000000001</v>
      </c>
      <c r="AF359">
        <v>0.5</v>
      </c>
      <c r="AG359" t="str">
        <f t="shared" si="330"/>
        <v>205</v>
      </c>
      <c r="AH359" t="str">
        <f t="shared" si="331"/>
        <v>（株）ムロコーポレーション</v>
      </c>
      <c r="AI359" t="str">
        <f>"206"</f>
        <v>206</v>
      </c>
      <c r="AJ359" t="str">
        <f>"S-SM-2-40"</f>
        <v>S-SM-2-40</v>
      </c>
      <c r="AK359" t="str">
        <f>"10251"</f>
        <v>10251</v>
      </c>
      <c r="AL359" t="str">
        <f t="shared" si="353"/>
        <v>0370</v>
      </c>
      <c r="AM359" t="str">
        <f t="shared" si="354"/>
        <v>ｼﾑ</v>
      </c>
      <c r="AN359" t="str">
        <f t="shared" si="332"/>
        <v>012</v>
      </c>
      <c r="AO359" t="str">
        <f t="shared" si="333"/>
        <v>TP-131 ﾊﾝﾖｳ</v>
      </c>
      <c r="AP359">
        <v>100</v>
      </c>
      <c r="AQ359" t="str">
        <f>""</f>
        <v/>
      </c>
      <c r="AR359" t="str">
        <f>""</f>
        <v/>
      </c>
      <c r="AS359" t="str">
        <f>""</f>
        <v/>
      </c>
      <c r="AT359" t="str">
        <f t="shared" si="334"/>
        <v>00</v>
      </c>
      <c r="AU359">
        <v>0.5</v>
      </c>
      <c r="AV359" t="str">
        <f>""</f>
        <v/>
      </c>
      <c r="AW359" t="str">
        <f t="shared" si="355"/>
        <v>06</v>
      </c>
      <c r="AX359" t="str">
        <f t="shared" si="356"/>
        <v>計画</v>
      </c>
      <c r="AY359" t="str">
        <f t="shared" si="357"/>
        <v>02</v>
      </c>
      <c r="AZ359" t="str">
        <f t="shared" si="358"/>
        <v>計画・２社</v>
      </c>
      <c r="BA359" t="str">
        <f>""</f>
        <v/>
      </c>
      <c r="BB359" t="str">
        <f t="shared" si="335"/>
        <v>ＴＰ１３１フタナシ</v>
      </c>
      <c r="BC359" t="str">
        <f t="shared" si="336"/>
        <v xml:space="preserve"> 335.000</v>
      </c>
      <c r="BD359" t="str">
        <f t="shared" si="337"/>
        <v xml:space="preserve"> 168.000</v>
      </c>
      <c r="BE359" t="str">
        <f t="shared" si="338"/>
        <v xml:space="preserve"> 103.000</v>
      </c>
      <c r="BF359" t="str">
        <f t="shared" si="339"/>
        <v xml:space="preserve">   0.006</v>
      </c>
      <c r="BG359" t="str">
        <f t="shared" si="363"/>
        <v xml:space="preserve">   6.500</v>
      </c>
      <c r="BH359" t="str">
        <f t="shared" si="364"/>
        <v>しない</v>
      </c>
      <c r="BI359" t="str">
        <f>""</f>
        <v/>
      </c>
      <c r="BJ359" t="str">
        <f t="shared" si="362"/>
        <v>MASTER01</v>
      </c>
      <c r="BK359" t="str">
        <f t="shared" si="327"/>
        <v>2022/04/19</v>
      </c>
      <c r="BL359" t="str">
        <f t="shared" si="350"/>
        <v>NE00</v>
      </c>
      <c r="BM359" t="str">
        <f t="shared" si="351"/>
        <v>１工工務Ｇ</v>
      </c>
      <c r="BN359" t="str">
        <f t="shared" si="359"/>
        <v>46548</v>
      </c>
      <c r="BO359" t="str">
        <f t="shared" si="360"/>
        <v>長畑　玲奈</v>
      </c>
    </row>
    <row r="360" spans="1:67">
      <c r="A360" t="s">
        <v>442</v>
      </c>
      <c r="B360" t="str">
        <f>""</f>
        <v/>
      </c>
      <c r="C360" t="str">
        <f>""</f>
        <v/>
      </c>
      <c r="D360" t="str">
        <f t="shared" si="352"/>
        <v>SHIM</v>
      </c>
      <c r="E360" t="str">
        <f t="shared" si="340"/>
        <v>1Y</v>
      </c>
      <c r="F360" t="str">
        <f t="shared" si="341"/>
        <v>第１工場</v>
      </c>
      <c r="G360" t="str">
        <f t="shared" si="342"/>
        <v>手配</v>
      </c>
      <c r="H360" t="str">
        <f t="shared" si="343"/>
        <v>Ｐ</v>
      </c>
      <c r="I360" t="str">
        <f t="shared" si="328"/>
        <v>6454</v>
      </c>
      <c r="J360" t="str">
        <f t="shared" si="329"/>
        <v>（株）ムロコーポレーション</v>
      </c>
      <c r="K360" t="str">
        <f t="shared" si="326"/>
        <v>01</v>
      </c>
      <c r="L360" t="str">
        <f>""</f>
        <v/>
      </c>
      <c r="M360" t="str">
        <f t="shared" si="365"/>
        <v>――</v>
      </c>
      <c r="N360" t="str">
        <f t="shared" si="365"/>
        <v>――</v>
      </c>
      <c r="O360" t="str">
        <f t="shared" si="344"/>
        <v>Ｍ</v>
      </c>
      <c r="P360" t="str">
        <f t="shared" si="345"/>
        <v>01</v>
      </c>
      <c r="Q360" t="str">
        <f t="shared" si="346"/>
        <v>第１</v>
      </c>
      <c r="R360" t="str">
        <f t="shared" si="347"/>
        <v>1Y</v>
      </c>
      <c r="S360" t="str">
        <f t="shared" si="348"/>
        <v>安城第１工場</v>
      </c>
      <c r="T360" t="str">
        <f t="shared" si="349"/>
        <v>直接</v>
      </c>
      <c r="U360" t="str">
        <f>""</f>
        <v/>
      </c>
      <c r="V360" t="str">
        <f>""</f>
        <v/>
      </c>
      <c r="W360" t="str">
        <f>""</f>
        <v/>
      </c>
      <c r="X360">
        <v>1</v>
      </c>
      <c r="Y360">
        <v>1</v>
      </c>
      <c r="Z360">
        <v>0.73</v>
      </c>
      <c r="AA360">
        <v>0.93</v>
      </c>
      <c r="AB360">
        <v>3</v>
      </c>
      <c r="AC360">
        <v>0.93</v>
      </c>
      <c r="AD360">
        <v>0.93</v>
      </c>
      <c r="AE360">
        <v>1.1000000000000001</v>
      </c>
      <c r="AF360">
        <v>0.5</v>
      </c>
      <c r="AG360" t="str">
        <f t="shared" si="330"/>
        <v>205</v>
      </c>
      <c r="AH360" t="str">
        <f t="shared" si="331"/>
        <v>（株）ムロコーポレーション</v>
      </c>
      <c r="AI360" t="str">
        <f>"042"</f>
        <v>042</v>
      </c>
      <c r="AJ360" t="str">
        <f>""</f>
        <v/>
      </c>
      <c r="AK360" t="str">
        <f>""</f>
        <v/>
      </c>
      <c r="AL360" t="str">
        <f t="shared" si="353"/>
        <v>0370</v>
      </c>
      <c r="AM360" t="str">
        <f t="shared" si="354"/>
        <v>ｼﾑ</v>
      </c>
      <c r="AN360" t="str">
        <f t="shared" si="332"/>
        <v>012</v>
      </c>
      <c r="AO360" t="str">
        <f t="shared" si="333"/>
        <v>TP-131 ﾊﾝﾖｳ</v>
      </c>
      <c r="AP360">
        <v>100</v>
      </c>
      <c r="AQ360" t="str">
        <f>""</f>
        <v/>
      </c>
      <c r="AR360" t="str">
        <f>""</f>
        <v/>
      </c>
      <c r="AS360" t="str">
        <f>""</f>
        <v/>
      </c>
      <c r="AT360" t="str">
        <f t="shared" si="334"/>
        <v>00</v>
      </c>
      <c r="AU360">
        <v>0.5</v>
      </c>
      <c r="AV360" t="str">
        <f>""</f>
        <v/>
      </c>
      <c r="AW360" t="str">
        <f t="shared" si="355"/>
        <v>06</v>
      </c>
      <c r="AX360" t="str">
        <f t="shared" si="356"/>
        <v>計画</v>
      </c>
      <c r="AY360" t="str">
        <f t="shared" si="357"/>
        <v>02</v>
      </c>
      <c r="AZ360" t="str">
        <f t="shared" si="358"/>
        <v>計画・２社</v>
      </c>
      <c r="BA360" t="str">
        <f>""</f>
        <v/>
      </c>
      <c r="BB360" t="str">
        <f t="shared" si="335"/>
        <v>ＴＰ１３１フタナシ</v>
      </c>
      <c r="BC360" t="str">
        <f t="shared" si="336"/>
        <v xml:space="preserve"> 335.000</v>
      </c>
      <c r="BD360" t="str">
        <f t="shared" si="337"/>
        <v xml:space="preserve"> 168.000</v>
      </c>
      <c r="BE360" t="str">
        <f t="shared" si="338"/>
        <v xml:space="preserve"> 103.000</v>
      </c>
      <c r="BF360" t="str">
        <f t="shared" si="339"/>
        <v xml:space="preserve">   0.006</v>
      </c>
      <c r="BG360" t="str">
        <f t="shared" ref="BG360:BG381" si="366">"   3.530"</f>
        <v xml:space="preserve">   3.530</v>
      </c>
      <c r="BH360" t="str">
        <f t="shared" si="364"/>
        <v>しない</v>
      </c>
      <c r="BI360" t="str">
        <f>""</f>
        <v/>
      </c>
      <c r="BJ360" t="str">
        <f t="shared" si="362"/>
        <v>MASTER01</v>
      </c>
      <c r="BK360" t="str">
        <f t="shared" ref="BK360:BK405" si="367">"2023/01/17"</f>
        <v>2023/01/17</v>
      </c>
      <c r="BL360" t="str">
        <f t="shared" si="350"/>
        <v>NE00</v>
      </c>
      <c r="BM360" t="str">
        <f t="shared" si="351"/>
        <v>１工工務Ｇ</v>
      </c>
      <c r="BN360" t="str">
        <f t="shared" si="359"/>
        <v>46548</v>
      </c>
      <c r="BO360" t="str">
        <f t="shared" si="360"/>
        <v>長畑　玲奈</v>
      </c>
    </row>
    <row r="361" spans="1:67">
      <c r="A361" t="s">
        <v>443</v>
      </c>
      <c r="B361" t="str">
        <f>""</f>
        <v/>
      </c>
      <c r="C361" t="str">
        <f>""</f>
        <v/>
      </c>
      <c r="D361" t="str">
        <f t="shared" si="352"/>
        <v>SHIM</v>
      </c>
      <c r="E361" t="str">
        <f t="shared" si="340"/>
        <v>1Y</v>
      </c>
      <c r="F361" t="str">
        <f t="shared" si="341"/>
        <v>第１工場</v>
      </c>
      <c r="G361" t="str">
        <f t="shared" si="342"/>
        <v>手配</v>
      </c>
      <c r="H361" t="str">
        <f t="shared" si="343"/>
        <v>Ｐ</v>
      </c>
      <c r="I361" t="str">
        <f t="shared" si="328"/>
        <v>6454</v>
      </c>
      <c r="J361" t="str">
        <f t="shared" si="329"/>
        <v>（株）ムロコーポレーション</v>
      </c>
      <c r="K361" t="str">
        <f t="shared" si="326"/>
        <v>01</v>
      </c>
      <c r="L361" t="str">
        <f>""</f>
        <v/>
      </c>
      <c r="M361" t="str">
        <f t="shared" si="365"/>
        <v>――</v>
      </c>
      <c r="N361" t="str">
        <f t="shared" si="365"/>
        <v>――</v>
      </c>
      <c r="O361" t="str">
        <f t="shared" si="344"/>
        <v>Ｍ</v>
      </c>
      <c r="P361" t="str">
        <f t="shared" si="345"/>
        <v>01</v>
      </c>
      <c r="Q361" t="str">
        <f t="shared" si="346"/>
        <v>第１</v>
      </c>
      <c r="R361" t="str">
        <f t="shared" si="347"/>
        <v>1Y</v>
      </c>
      <c r="S361" t="str">
        <f t="shared" si="348"/>
        <v>安城第１工場</v>
      </c>
      <c r="T361" t="str">
        <f t="shared" si="349"/>
        <v>直接</v>
      </c>
      <c r="U361" t="str">
        <f>""</f>
        <v/>
      </c>
      <c r="V361" t="str">
        <f>""</f>
        <v/>
      </c>
      <c r="W361" t="str">
        <f>""</f>
        <v/>
      </c>
      <c r="X361">
        <v>1</v>
      </c>
      <c r="Y361">
        <v>1</v>
      </c>
      <c r="Z361">
        <v>0.73</v>
      </c>
      <c r="AA361">
        <v>0.93</v>
      </c>
      <c r="AB361">
        <v>3</v>
      </c>
      <c r="AC361">
        <v>0.93</v>
      </c>
      <c r="AD361">
        <v>0.93</v>
      </c>
      <c r="AE361">
        <v>1.1000000000000001</v>
      </c>
      <c r="AF361">
        <v>0.5</v>
      </c>
      <c r="AG361" t="str">
        <f t="shared" si="330"/>
        <v>205</v>
      </c>
      <c r="AH361" t="str">
        <f t="shared" si="331"/>
        <v>（株）ムロコーポレーション</v>
      </c>
      <c r="AI361" t="str">
        <f>"043"</f>
        <v>043</v>
      </c>
      <c r="AJ361" t="str">
        <f>""</f>
        <v/>
      </c>
      <c r="AK361" t="str">
        <f>""</f>
        <v/>
      </c>
      <c r="AL361" t="str">
        <f t="shared" si="353"/>
        <v>0370</v>
      </c>
      <c r="AM361" t="str">
        <f t="shared" si="354"/>
        <v>ｼﾑ</v>
      </c>
      <c r="AN361" t="str">
        <f t="shared" si="332"/>
        <v>012</v>
      </c>
      <c r="AO361" t="str">
        <f t="shared" si="333"/>
        <v>TP-131 ﾊﾝﾖｳ</v>
      </c>
      <c r="AP361">
        <v>100</v>
      </c>
      <c r="AQ361" t="str">
        <f>""</f>
        <v/>
      </c>
      <c r="AR361" t="str">
        <f>""</f>
        <v/>
      </c>
      <c r="AS361" t="str">
        <f>""</f>
        <v/>
      </c>
      <c r="AT361" t="str">
        <f t="shared" si="334"/>
        <v>00</v>
      </c>
      <c r="AU361">
        <v>0.5</v>
      </c>
      <c r="AV361" t="str">
        <f>""</f>
        <v/>
      </c>
      <c r="AW361" t="str">
        <f t="shared" si="355"/>
        <v>06</v>
      </c>
      <c r="AX361" t="str">
        <f t="shared" si="356"/>
        <v>計画</v>
      </c>
      <c r="AY361" t="str">
        <f t="shared" si="357"/>
        <v>02</v>
      </c>
      <c r="AZ361" t="str">
        <f t="shared" si="358"/>
        <v>計画・２社</v>
      </c>
      <c r="BA361" t="str">
        <f>""</f>
        <v/>
      </c>
      <c r="BB361" t="str">
        <f t="shared" si="335"/>
        <v>ＴＰ１３１フタナシ</v>
      </c>
      <c r="BC361" t="str">
        <f t="shared" si="336"/>
        <v xml:space="preserve"> 335.000</v>
      </c>
      <c r="BD361" t="str">
        <f t="shared" si="337"/>
        <v xml:space="preserve"> 168.000</v>
      </c>
      <c r="BE361" t="str">
        <f t="shared" si="338"/>
        <v xml:space="preserve"> 103.000</v>
      </c>
      <c r="BF361" t="str">
        <f t="shared" si="339"/>
        <v xml:space="preserve">   0.006</v>
      </c>
      <c r="BG361" t="str">
        <f t="shared" si="366"/>
        <v xml:space="preserve">   3.530</v>
      </c>
      <c r="BH361" t="str">
        <f t="shared" si="364"/>
        <v>しない</v>
      </c>
      <c r="BI361" t="str">
        <f>""</f>
        <v/>
      </c>
      <c r="BJ361" t="str">
        <f t="shared" si="362"/>
        <v>MASTER01</v>
      </c>
      <c r="BK361" t="str">
        <f t="shared" si="367"/>
        <v>2023/01/17</v>
      </c>
      <c r="BL361" t="str">
        <f t="shared" si="350"/>
        <v>NE00</v>
      </c>
      <c r="BM361" t="str">
        <f t="shared" si="351"/>
        <v>１工工務Ｇ</v>
      </c>
      <c r="BN361" t="str">
        <f t="shared" si="359"/>
        <v>46548</v>
      </c>
      <c r="BO361" t="str">
        <f t="shared" si="360"/>
        <v>長畑　玲奈</v>
      </c>
    </row>
    <row r="362" spans="1:67">
      <c r="A362" t="s">
        <v>444</v>
      </c>
      <c r="B362" t="str">
        <f>""</f>
        <v/>
      </c>
      <c r="C362" t="str">
        <f>""</f>
        <v/>
      </c>
      <c r="D362" t="str">
        <f t="shared" si="352"/>
        <v>SHIM</v>
      </c>
      <c r="E362" t="str">
        <f t="shared" si="340"/>
        <v>1Y</v>
      </c>
      <c r="F362" t="str">
        <f t="shared" si="341"/>
        <v>第１工場</v>
      </c>
      <c r="G362" t="str">
        <f t="shared" si="342"/>
        <v>手配</v>
      </c>
      <c r="H362" t="str">
        <f t="shared" si="343"/>
        <v>Ｐ</v>
      </c>
      <c r="I362" t="str">
        <f t="shared" si="328"/>
        <v>6454</v>
      </c>
      <c r="J362" t="str">
        <f t="shared" si="329"/>
        <v>（株）ムロコーポレーション</v>
      </c>
      <c r="K362" t="str">
        <f t="shared" si="326"/>
        <v>01</v>
      </c>
      <c r="L362" t="str">
        <f>""</f>
        <v/>
      </c>
      <c r="M362" t="str">
        <f t="shared" si="365"/>
        <v>――</v>
      </c>
      <c r="N362" t="str">
        <f t="shared" si="365"/>
        <v>――</v>
      </c>
      <c r="O362" t="str">
        <f t="shared" si="344"/>
        <v>Ｍ</v>
      </c>
      <c r="P362" t="str">
        <f t="shared" si="345"/>
        <v>01</v>
      </c>
      <c r="Q362" t="str">
        <f t="shared" si="346"/>
        <v>第１</v>
      </c>
      <c r="R362" t="str">
        <f t="shared" si="347"/>
        <v>1Y</v>
      </c>
      <c r="S362" t="str">
        <f t="shared" si="348"/>
        <v>安城第１工場</v>
      </c>
      <c r="T362" t="str">
        <f t="shared" si="349"/>
        <v>直接</v>
      </c>
      <c r="U362" t="str">
        <f>""</f>
        <v/>
      </c>
      <c r="V362" t="str">
        <f>""</f>
        <v/>
      </c>
      <c r="W362" t="str">
        <f>""</f>
        <v/>
      </c>
      <c r="X362">
        <v>1</v>
      </c>
      <c r="Y362">
        <v>1</v>
      </c>
      <c r="Z362">
        <v>0.73</v>
      </c>
      <c r="AA362">
        <v>0.93</v>
      </c>
      <c r="AB362">
        <v>3</v>
      </c>
      <c r="AC362">
        <v>0.93</v>
      </c>
      <c r="AD362">
        <v>0.93</v>
      </c>
      <c r="AE362">
        <v>1.1000000000000001</v>
      </c>
      <c r="AF362">
        <v>0.5</v>
      </c>
      <c r="AG362" t="str">
        <f t="shared" si="330"/>
        <v>205</v>
      </c>
      <c r="AH362" t="str">
        <f t="shared" si="331"/>
        <v>（株）ムロコーポレーション</v>
      </c>
      <c r="AI362" t="str">
        <f>"044"</f>
        <v>044</v>
      </c>
      <c r="AJ362" t="str">
        <f>""</f>
        <v/>
      </c>
      <c r="AK362" t="str">
        <f>""</f>
        <v/>
      </c>
      <c r="AL362" t="str">
        <f t="shared" si="353"/>
        <v>0370</v>
      </c>
      <c r="AM362" t="str">
        <f t="shared" si="354"/>
        <v>ｼﾑ</v>
      </c>
      <c r="AN362" t="str">
        <f t="shared" si="332"/>
        <v>012</v>
      </c>
      <c r="AO362" t="str">
        <f t="shared" si="333"/>
        <v>TP-131 ﾊﾝﾖｳ</v>
      </c>
      <c r="AP362">
        <v>100</v>
      </c>
      <c r="AQ362" t="str">
        <f>""</f>
        <v/>
      </c>
      <c r="AR362" t="str">
        <f>""</f>
        <v/>
      </c>
      <c r="AS362" t="str">
        <f>""</f>
        <v/>
      </c>
      <c r="AT362" t="str">
        <f t="shared" si="334"/>
        <v>00</v>
      </c>
      <c r="AU362">
        <v>0.5</v>
      </c>
      <c r="AV362" t="str">
        <f>""</f>
        <v/>
      </c>
      <c r="AW362" t="str">
        <f t="shared" si="355"/>
        <v>06</v>
      </c>
      <c r="AX362" t="str">
        <f t="shared" si="356"/>
        <v>計画</v>
      </c>
      <c r="AY362" t="str">
        <f t="shared" si="357"/>
        <v>02</v>
      </c>
      <c r="AZ362" t="str">
        <f t="shared" si="358"/>
        <v>計画・２社</v>
      </c>
      <c r="BA362" t="str">
        <f>""</f>
        <v/>
      </c>
      <c r="BB362" t="str">
        <f t="shared" si="335"/>
        <v>ＴＰ１３１フタナシ</v>
      </c>
      <c r="BC362" t="str">
        <f t="shared" si="336"/>
        <v xml:space="preserve"> 335.000</v>
      </c>
      <c r="BD362" t="str">
        <f t="shared" si="337"/>
        <v xml:space="preserve"> 168.000</v>
      </c>
      <c r="BE362" t="str">
        <f t="shared" si="338"/>
        <v xml:space="preserve"> 103.000</v>
      </c>
      <c r="BF362" t="str">
        <f t="shared" si="339"/>
        <v xml:space="preserve">   0.006</v>
      </c>
      <c r="BG362" t="str">
        <f t="shared" si="366"/>
        <v xml:space="preserve">   3.530</v>
      </c>
      <c r="BH362" t="str">
        <f t="shared" si="364"/>
        <v>しない</v>
      </c>
      <c r="BI362" t="str">
        <f>""</f>
        <v/>
      </c>
      <c r="BJ362" t="str">
        <f t="shared" si="362"/>
        <v>MASTER01</v>
      </c>
      <c r="BK362" t="str">
        <f t="shared" si="367"/>
        <v>2023/01/17</v>
      </c>
      <c r="BL362" t="str">
        <f t="shared" si="350"/>
        <v>NE00</v>
      </c>
      <c r="BM362" t="str">
        <f t="shared" si="351"/>
        <v>１工工務Ｇ</v>
      </c>
      <c r="BN362" t="str">
        <f t="shared" si="359"/>
        <v>46548</v>
      </c>
      <c r="BO362" t="str">
        <f t="shared" si="360"/>
        <v>長畑　玲奈</v>
      </c>
    </row>
    <row r="363" spans="1:67">
      <c r="A363" t="s">
        <v>445</v>
      </c>
      <c r="B363" t="str">
        <f>""</f>
        <v/>
      </c>
      <c r="C363" t="str">
        <f>""</f>
        <v/>
      </c>
      <c r="D363" t="str">
        <f t="shared" si="352"/>
        <v>SHIM</v>
      </c>
      <c r="E363" t="str">
        <f t="shared" si="340"/>
        <v>1Y</v>
      </c>
      <c r="F363" t="str">
        <f t="shared" si="341"/>
        <v>第１工場</v>
      </c>
      <c r="G363" t="str">
        <f t="shared" si="342"/>
        <v>手配</v>
      </c>
      <c r="H363" t="str">
        <f t="shared" si="343"/>
        <v>Ｐ</v>
      </c>
      <c r="I363" t="str">
        <f t="shared" si="328"/>
        <v>6454</v>
      </c>
      <c r="J363" t="str">
        <f t="shared" si="329"/>
        <v>（株）ムロコーポレーション</v>
      </c>
      <c r="K363" t="str">
        <f t="shared" si="326"/>
        <v>01</v>
      </c>
      <c r="L363" t="str">
        <f>""</f>
        <v/>
      </c>
      <c r="M363" t="str">
        <f t="shared" si="365"/>
        <v>――</v>
      </c>
      <c r="N363" t="str">
        <f t="shared" si="365"/>
        <v>――</v>
      </c>
      <c r="O363" t="str">
        <f t="shared" si="344"/>
        <v>Ｍ</v>
      </c>
      <c r="P363" t="str">
        <f t="shared" si="345"/>
        <v>01</v>
      </c>
      <c r="Q363" t="str">
        <f t="shared" si="346"/>
        <v>第１</v>
      </c>
      <c r="R363" t="str">
        <f t="shared" si="347"/>
        <v>1Y</v>
      </c>
      <c r="S363" t="str">
        <f t="shared" si="348"/>
        <v>安城第１工場</v>
      </c>
      <c r="T363" t="str">
        <f t="shared" si="349"/>
        <v>直接</v>
      </c>
      <c r="U363" t="str">
        <f>""</f>
        <v/>
      </c>
      <c r="V363" t="str">
        <f>""</f>
        <v/>
      </c>
      <c r="W363" t="str">
        <f>""</f>
        <v/>
      </c>
      <c r="X363">
        <v>1</v>
      </c>
      <c r="Y363">
        <v>1</v>
      </c>
      <c r="Z363">
        <v>0.73</v>
      </c>
      <c r="AA363">
        <v>0.93</v>
      </c>
      <c r="AB363">
        <v>3</v>
      </c>
      <c r="AC363">
        <v>0.93</v>
      </c>
      <c r="AD363">
        <v>0.93</v>
      </c>
      <c r="AE363">
        <v>1.1000000000000001</v>
      </c>
      <c r="AF363">
        <v>0.5</v>
      </c>
      <c r="AG363" t="str">
        <f t="shared" si="330"/>
        <v>205</v>
      </c>
      <c r="AH363" t="str">
        <f t="shared" si="331"/>
        <v>（株）ムロコーポレーション</v>
      </c>
      <c r="AI363" t="str">
        <f>"045"</f>
        <v>045</v>
      </c>
      <c r="AJ363" t="str">
        <f>""</f>
        <v/>
      </c>
      <c r="AK363" t="str">
        <f>""</f>
        <v/>
      </c>
      <c r="AL363" t="str">
        <f t="shared" si="353"/>
        <v>0370</v>
      </c>
      <c r="AM363" t="str">
        <f t="shared" si="354"/>
        <v>ｼﾑ</v>
      </c>
      <c r="AN363" t="str">
        <f t="shared" si="332"/>
        <v>012</v>
      </c>
      <c r="AO363" t="str">
        <f t="shared" si="333"/>
        <v>TP-131 ﾊﾝﾖｳ</v>
      </c>
      <c r="AP363">
        <v>100</v>
      </c>
      <c r="AQ363" t="str">
        <f>""</f>
        <v/>
      </c>
      <c r="AR363" t="str">
        <f>""</f>
        <v/>
      </c>
      <c r="AS363" t="str">
        <f>""</f>
        <v/>
      </c>
      <c r="AT363" t="str">
        <f t="shared" si="334"/>
        <v>00</v>
      </c>
      <c r="AU363">
        <v>0.5</v>
      </c>
      <c r="AV363" t="str">
        <f>""</f>
        <v/>
      </c>
      <c r="AW363" t="str">
        <f t="shared" si="355"/>
        <v>06</v>
      </c>
      <c r="AX363" t="str">
        <f t="shared" si="356"/>
        <v>計画</v>
      </c>
      <c r="AY363" t="str">
        <f t="shared" si="357"/>
        <v>02</v>
      </c>
      <c r="AZ363" t="str">
        <f t="shared" si="358"/>
        <v>計画・２社</v>
      </c>
      <c r="BA363" t="str">
        <f>""</f>
        <v/>
      </c>
      <c r="BB363" t="str">
        <f t="shared" si="335"/>
        <v>ＴＰ１３１フタナシ</v>
      </c>
      <c r="BC363" t="str">
        <f t="shared" si="336"/>
        <v xml:space="preserve"> 335.000</v>
      </c>
      <c r="BD363" t="str">
        <f t="shared" si="337"/>
        <v xml:space="preserve"> 168.000</v>
      </c>
      <c r="BE363" t="str">
        <f t="shared" si="338"/>
        <v xml:space="preserve"> 103.000</v>
      </c>
      <c r="BF363" t="str">
        <f t="shared" si="339"/>
        <v xml:space="preserve">   0.006</v>
      </c>
      <c r="BG363" t="str">
        <f t="shared" si="366"/>
        <v xml:space="preserve">   3.530</v>
      </c>
      <c r="BH363" t="str">
        <f t="shared" si="364"/>
        <v>しない</v>
      </c>
      <c r="BI363" t="str">
        <f>""</f>
        <v/>
      </c>
      <c r="BJ363" t="str">
        <f t="shared" si="362"/>
        <v>MASTER01</v>
      </c>
      <c r="BK363" t="str">
        <f t="shared" si="367"/>
        <v>2023/01/17</v>
      </c>
      <c r="BL363" t="str">
        <f t="shared" si="350"/>
        <v>NE00</v>
      </c>
      <c r="BM363" t="str">
        <f t="shared" si="351"/>
        <v>１工工務Ｇ</v>
      </c>
      <c r="BN363" t="str">
        <f t="shared" si="359"/>
        <v>46548</v>
      </c>
      <c r="BO363" t="str">
        <f t="shared" si="360"/>
        <v>長畑　玲奈</v>
      </c>
    </row>
    <row r="364" spans="1:67">
      <c r="A364" t="s">
        <v>446</v>
      </c>
      <c r="B364" t="str">
        <f>""</f>
        <v/>
      </c>
      <c r="C364" t="str">
        <f>""</f>
        <v/>
      </c>
      <c r="D364" t="str">
        <f t="shared" si="352"/>
        <v>SHIM</v>
      </c>
      <c r="E364" t="str">
        <f t="shared" si="340"/>
        <v>1Y</v>
      </c>
      <c r="F364" t="str">
        <f t="shared" si="341"/>
        <v>第１工場</v>
      </c>
      <c r="G364" t="str">
        <f t="shared" si="342"/>
        <v>手配</v>
      </c>
      <c r="H364" t="str">
        <f t="shared" si="343"/>
        <v>Ｐ</v>
      </c>
      <c r="I364" t="str">
        <f t="shared" si="328"/>
        <v>6454</v>
      </c>
      <c r="J364" t="str">
        <f t="shared" si="329"/>
        <v>（株）ムロコーポレーション</v>
      </c>
      <c r="K364" t="str">
        <f t="shared" si="326"/>
        <v>01</v>
      </c>
      <c r="L364" t="str">
        <f>""</f>
        <v/>
      </c>
      <c r="M364" t="str">
        <f t="shared" si="365"/>
        <v>――</v>
      </c>
      <c r="N364" t="str">
        <f t="shared" si="365"/>
        <v>――</v>
      </c>
      <c r="O364" t="str">
        <f t="shared" si="344"/>
        <v>Ｍ</v>
      </c>
      <c r="P364" t="str">
        <f t="shared" si="345"/>
        <v>01</v>
      </c>
      <c r="Q364" t="str">
        <f t="shared" si="346"/>
        <v>第１</v>
      </c>
      <c r="R364" t="str">
        <f t="shared" si="347"/>
        <v>1Y</v>
      </c>
      <c r="S364" t="str">
        <f t="shared" si="348"/>
        <v>安城第１工場</v>
      </c>
      <c r="T364" t="str">
        <f t="shared" si="349"/>
        <v>直接</v>
      </c>
      <c r="U364" t="str">
        <f>""</f>
        <v/>
      </c>
      <c r="V364" t="str">
        <f>""</f>
        <v/>
      </c>
      <c r="W364" t="str">
        <f>""</f>
        <v/>
      </c>
      <c r="X364">
        <v>1</v>
      </c>
      <c r="Y364">
        <v>1</v>
      </c>
      <c r="Z364">
        <v>0.73</v>
      </c>
      <c r="AA364">
        <v>0.93</v>
      </c>
      <c r="AB364">
        <v>3</v>
      </c>
      <c r="AC364">
        <v>0.93</v>
      </c>
      <c r="AD364">
        <v>0.93</v>
      </c>
      <c r="AE364">
        <v>1.1000000000000001</v>
      </c>
      <c r="AF364">
        <v>0.5</v>
      </c>
      <c r="AG364" t="str">
        <f t="shared" si="330"/>
        <v>205</v>
      </c>
      <c r="AH364" t="str">
        <f t="shared" si="331"/>
        <v>（株）ムロコーポレーション</v>
      </c>
      <c r="AI364" t="str">
        <f>"046"</f>
        <v>046</v>
      </c>
      <c r="AJ364" t="str">
        <f>""</f>
        <v/>
      </c>
      <c r="AK364" t="str">
        <f>""</f>
        <v/>
      </c>
      <c r="AL364" t="str">
        <f t="shared" si="353"/>
        <v>0370</v>
      </c>
      <c r="AM364" t="str">
        <f t="shared" si="354"/>
        <v>ｼﾑ</v>
      </c>
      <c r="AN364" t="str">
        <f t="shared" si="332"/>
        <v>012</v>
      </c>
      <c r="AO364" t="str">
        <f t="shared" si="333"/>
        <v>TP-131 ﾊﾝﾖｳ</v>
      </c>
      <c r="AP364">
        <v>100</v>
      </c>
      <c r="AQ364" t="str">
        <f>""</f>
        <v/>
      </c>
      <c r="AR364" t="str">
        <f>""</f>
        <v/>
      </c>
      <c r="AS364" t="str">
        <f>""</f>
        <v/>
      </c>
      <c r="AT364" t="str">
        <f t="shared" si="334"/>
        <v>00</v>
      </c>
      <c r="AU364">
        <v>0.5</v>
      </c>
      <c r="AV364" t="str">
        <f>""</f>
        <v/>
      </c>
      <c r="AW364" t="str">
        <f t="shared" si="355"/>
        <v>06</v>
      </c>
      <c r="AX364" t="str">
        <f t="shared" si="356"/>
        <v>計画</v>
      </c>
      <c r="AY364" t="str">
        <f t="shared" si="357"/>
        <v>02</v>
      </c>
      <c r="AZ364" t="str">
        <f t="shared" si="358"/>
        <v>計画・２社</v>
      </c>
      <c r="BA364" t="str">
        <f>""</f>
        <v/>
      </c>
      <c r="BB364" t="str">
        <f t="shared" si="335"/>
        <v>ＴＰ１３１フタナシ</v>
      </c>
      <c r="BC364" t="str">
        <f t="shared" si="336"/>
        <v xml:space="preserve"> 335.000</v>
      </c>
      <c r="BD364" t="str">
        <f t="shared" si="337"/>
        <v xml:space="preserve"> 168.000</v>
      </c>
      <c r="BE364" t="str">
        <f t="shared" si="338"/>
        <v xml:space="preserve"> 103.000</v>
      </c>
      <c r="BF364" t="str">
        <f t="shared" si="339"/>
        <v xml:space="preserve">   0.006</v>
      </c>
      <c r="BG364" t="str">
        <f t="shared" si="366"/>
        <v xml:space="preserve">   3.530</v>
      </c>
      <c r="BH364" t="str">
        <f t="shared" si="364"/>
        <v>しない</v>
      </c>
      <c r="BI364" t="str">
        <f>""</f>
        <v/>
      </c>
      <c r="BJ364" t="str">
        <f t="shared" si="362"/>
        <v>MASTER01</v>
      </c>
      <c r="BK364" t="str">
        <f t="shared" si="367"/>
        <v>2023/01/17</v>
      </c>
      <c r="BL364" t="str">
        <f t="shared" si="350"/>
        <v>NE00</v>
      </c>
      <c r="BM364" t="str">
        <f t="shared" si="351"/>
        <v>１工工務Ｇ</v>
      </c>
      <c r="BN364" t="str">
        <f t="shared" si="359"/>
        <v>46548</v>
      </c>
      <c r="BO364" t="str">
        <f t="shared" si="360"/>
        <v>長畑　玲奈</v>
      </c>
    </row>
    <row r="365" spans="1:67">
      <c r="A365" t="s">
        <v>447</v>
      </c>
      <c r="B365" t="str">
        <f>""</f>
        <v/>
      </c>
      <c r="C365" t="str">
        <f>""</f>
        <v/>
      </c>
      <c r="D365" t="str">
        <f t="shared" si="352"/>
        <v>SHIM</v>
      </c>
      <c r="E365" t="str">
        <f t="shared" si="340"/>
        <v>1Y</v>
      </c>
      <c r="F365" t="str">
        <f t="shared" si="341"/>
        <v>第１工場</v>
      </c>
      <c r="G365" t="str">
        <f t="shared" si="342"/>
        <v>手配</v>
      </c>
      <c r="H365" t="str">
        <f t="shared" si="343"/>
        <v>Ｐ</v>
      </c>
      <c r="I365" t="str">
        <f t="shared" si="328"/>
        <v>6454</v>
      </c>
      <c r="J365" t="str">
        <f t="shared" si="329"/>
        <v>（株）ムロコーポレーション</v>
      </c>
      <c r="K365" t="str">
        <f t="shared" si="326"/>
        <v>01</v>
      </c>
      <c r="L365" t="str">
        <f>""</f>
        <v/>
      </c>
      <c r="M365" t="str">
        <f t="shared" si="365"/>
        <v>――</v>
      </c>
      <c r="N365" t="str">
        <f t="shared" si="365"/>
        <v>――</v>
      </c>
      <c r="O365" t="str">
        <f t="shared" si="344"/>
        <v>Ｍ</v>
      </c>
      <c r="P365" t="str">
        <f t="shared" si="345"/>
        <v>01</v>
      </c>
      <c r="Q365" t="str">
        <f t="shared" si="346"/>
        <v>第１</v>
      </c>
      <c r="R365" t="str">
        <f t="shared" si="347"/>
        <v>1Y</v>
      </c>
      <c r="S365" t="str">
        <f t="shared" si="348"/>
        <v>安城第１工場</v>
      </c>
      <c r="T365" t="str">
        <f t="shared" si="349"/>
        <v>直接</v>
      </c>
      <c r="U365" t="str">
        <f>""</f>
        <v/>
      </c>
      <c r="V365" t="str">
        <f>""</f>
        <v/>
      </c>
      <c r="W365" t="str">
        <f>""</f>
        <v/>
      </c>
      <c r="X365">
        <v>1</v>
      </c>
      <c r="Y365">
        <v>1</v>
      </c>
      <c r="Z365">
        <v>0.73</v>
      </c>
      <c r="AA365">
        <v>0.93</v>
      </c>
      <c r="AB365">
        <v>3</v>
      </c>
      <c r="AC365">
        <v>0.93</v>
      </c>
      <c r="AD365">
        <v>0.93</v>
      </c>
      <c r="AE365">
        <v>1.1000000000000001</v>
      </c>
      <c r="AF365">
        <v>0.5</v>
      </c>
      <c r="AG365" t="str">
        <f t="shared" si="330"/>
        <v>205</v>
      </c>
      <c r="AH365" t="str">
        <f t="shared" si="331"/>
        <v>（株）ムロコーポレーション</v>
      </c>
      <c r="AI365" t="str">
        <f>"047"</f>
        <v>047</v>
      </c>
      <c r="AJ365" t="str">
        <f>""</f>
        <v/>
      </c>
      <c r="AK365" t="str">
        <f>""</f>
        <v/>
      </c>
      <c r="AL365" t="str">
        <f t="shared" si="353"/>
        <v>0370</v>
      </c>
      <c r="AM365" t="str">
        <f t="shared" si="354"/>
        <v>ｼﾑ</v>
      </c>
      <c r="AN365" t="str">
        <f t="shared" si="332"/>
        <v>012</v>
      </c>
      <c r="AO365" t="str">
        <f t="shared" si="333"/>
        <v>TP-131 ﾊﾝﾖｳ</v>
      </c>
      <c r="AP365">
        <v>100</v>
      </c>
      <c r="AQ365" t="str">
        <f>""</f>
        <v/>
      </c>
      <c r="AR365" t="str">
        <f>""</f>
        <v/>
      </c>
      <c r="AS365" t="str">
        <f>""</f>
        <v/>
      </c>
      <c r="AT365" t="str">
        <f t="shared" si="334"/>
        <v>00</v>
      </c>
      <c r="AU365">
        <v>0.5</v>
      </c>
      <c r="AV365" t="str">
        <f>""</f>
        <v/>
      </c>
      <c r="AW365" t="str">
        <f t="shared" si="355"/>
        <v>06</v>
      </c>
      <c r="AX365" t="str">
        <f t="shared" si="356"/>
        <v>計画</v>
      </c>
      <c r="AY365" t="str">
        <f t="shared" si="357"/>
        <v>02</v>
      </c>
      <c r="AZ365" t="str">
        <f t="shared" si="358"/>
        <v>計画・２社</v>
      </c>
      <c r="BA365" t="str">
        <f>""</f>
        <v/>
      </c>
      <c r="BB365" t="str">
        <f t="shared" si="335"/>
        <v>ＴＰ１３１フタナシ</v>
      </c>
      <c r="BC365" t="str">
        <f t="shared" si="336"/>
        <v xml:space="preserve"> 335.000</v>
      </c>
      <c r="BD365" t="str">
        <f t="shared" si="337"/>
        <v xml:space="preserve"> 168.000</v>
      </c>
      <c r="BE365" t="str">
        <f t="shared" si="338"/>
        <v xml:space="preserve"> 103.000</v>
      </c>
      <c r="BF365" t="str">
        <f t="shared" si="339"/>
        <v xml:space="preserve">   0.006</v>
      </c>
      <c r="BG365" t="str">
        <f t="shared" si="366"/>
        <v xml:space="preserve">   3.530</v>
      </c>
      <c r="BH365" t="str">
        <f t="shared" si="364"/>
        <v>しない</v>
      </c>
      <c r="BI365" t="str">
        <f>""</f>
        <v/>
      </c>
      <c r="BJ365" t="str">
        <f t="shared" si="362"/>
        <v>MASTER01</v>
      </c>
      <c r="BK365" t="str">
        <f t="shared" si="367"/>
        <v>2023/01/17</v>
      </c>
      <c r="BL365" t="str">
        <f t="shared" si="350"/>
        <v>NE00</v>
      </c>
      <c r="BM365" t="str">
        <f t="shared" si="351"/>
        <v>１工工務Ｇ</v>
      </c>
      <c r="BN365" t="str">
        <f t="shared" si="359"/>
        <v>46548</v>
      </c>
      <c r="BO365" t="str">
        <f t="shared" si="360"/>
        <v>長畑　玲奈</v>
      </c>
    </row>
    <row r="366" spans="1:67">
      <c r="A366" t="s">
        <v>448</v>
      </c>
      <c r="B366" t="str">
        <f>""</f>
        <v/>
      </c>
      <c r="C366" t="str">
        <f>""</f>
        <v/>
      </c>
      <c r="D366" t="str">
        <f t="shared" si="352"/>
        <v>SHIM</v>
      </c>
      <c r="E366" t="str">
        <f t="shared" si="340"/>
        <v>1Y</v>
      </c>
      <c r="F366" t="str">
        <f t="shared" si="341"/>
        <v>第１工場</v>
      </c>
      <c r="G366" t="str">
        <f t="shared" si="342"/>
        <v>手配</v>
      </c>
      <c r="H366" t="str">
        <f t="shared" si="343"/>
        <v>Ｐ</v>
      </c>
      <c r="I366" t="str">
        <f t="shared" si="328"/>
        <v>6454</v>
      </c>
      <c r="J366" t="str">
        <f t="shared" si="329"/>
        <v>（株）ムロコーポレーション</v>
      </c>
      <c r="K366" t="str">
        <f t="shared" si="326"/>
        <v>01</v>
      </c>
      <c r="L366" t="str">
        <f>""</f>
        <v/>
      </c>
      <c r="M366" t="str">
        <f t="shared" si="365"/>
        <v>――</v>
      </c>
      <c r="N366" t="str">
        <f t="shared" si="365"/>
        <v>――</v>
      </c>
      <c r="O366" t="str">
        <f t="shared" si="344"/>
        <v>Ｍ</v>
      </c>
      <c r="P366" t="str">
        <f t="shared" si="345"/>
        <v>01</v>
      </c>
      <c r="Q366" t="str">
        <f t="shared" si="346"/>
        <v>第１</v>
      </c>
      <c r="R366" t="str">
        <f t="shared" si="347"/>
        <v>1Y</v>
      </c>
      <c r="S366" t="str">
        <f t="shared" si="348"/>
        <v>安城第１工場</v>
      </c>
      <c r="T366" t="str">
        <f t="shared" si="349"/>
        <v>直接</v>
      </c>
      <c r="U366" t="str">
        <f>""</f>
        <v/>
      </c>
      <c r="V366" t="str">
        <f>""</f>
        <v/>
      </c>
      <c r="W366" t="str">
        <f>""</f>
        <v/>
      </c>
      <c r="X366">
        <v>1</v>
      </c>
      <c r="Y366">
        <v>1</v>
      </c>
      <c r="Z366">
        <v>0.73</v>
      </c>
      <c r="AA366">
        <v>0.93</v>
      </c>
      <c r="AB366">
        <v>3</v>
      </c>
      <c r="AC366">
        <v>0.93</v>
      </c>
      <c r="AD366">
        <v>0.93</v>
      </c>
      <c r="AE366">
        <v>1.1000000000000001</v>
      </c>
      <c r="AF366">
        <v>0.5</v>
      </c>
      <c r="AG366" t="str">
        <f t="shared" si="330"/>
        <v>205</v>
      </c>
      <c r="AH366" t="str">
        <f t="shared" si="331"/>
        <v>（株）ムロコーポレーション</v>
      </c>
      <c r="AI366" t="str">
        <f>"048"</f>
        <v>048</v>
      </c>
      <c r="AJ366" t="str">
        <f>""</f>
        <v/>
      </c>
      <c r="AK366" t="str">
        <f>""</f>
        <v/>
      </c>
      <c r="AL366" t="str">
        <f t="shared" si="353"/>
        <v>0370</v>
      </c>
      <c r="AM366" t="str">
        <f t="shared" si="354"/>
        <v>ｼﾑ</v>
      </c>
      <c r="AN366" t="str">
        <f t="shared" si="332"/>
        <v>012</v>
      </c>
      <c r="AO366" t="str">
        <f t="shared" si="333"/>
        <v>TP-131 ﾊﾝﾖｳ</v>
      </c>
      <c r="AP366">
        <v>100</v>
      </c>
      <c r="AQ366" t="str">
        <f>""</f>
        <v/>
      </c>
      <c r="AR366" t="str">
        <f>""</f>
        <v/>
      </c>
      <c r="AS366" t="str">
        <f>""</f>
        <v/>
      </c>
      <c r="AT366" t="str">
        <f t="shared" si="334"/>
        <v>00</v>
      </c>
      <c r="AU366">
        <v>0.5</v>
      </c>
      <c r="AV366" t="str">
        <f>""</f>
        <v/>
      </c>
      <c r="AW366" t="str">
        <f t="shared" si="355"/>
        <v>06</v>
      </c>
      <c r="AX366" t="str">
        <f t="shared" si="356"/>
        <v>計画</v>
      </c>
      <c r="AY366" t="str">
        <f t="shared" si="357"/>
        <v>02</v>
      </c>
      <c r="AZ366" t="str">
        <f t="shared" si="358"/>
        <v>計画・２社</v>
      </c>
      <c r="BA366" t="str">
        <f>""</f>
        <v/>
      </c>
      <c r="BB366" t="str">
        <f t="shared" si="335"/>
        <v>ＴＰ１３１フタナシ</v>
      </c>
      <c r="BC366" t="str">
        <f t="shared" si="336"/>
        <v xml:space="preserve"> 335.000</v>
      </c>
      <c r="BD366" t="str">
        <f t="shared" si="337"/>
        <v xml:space="preserve"> 168.000</v>
      </c>
      <c r="BE366" t="str">
        <f t="shared" si="338"/>
        <v xml:space="preserve"> 103.000</v>
      </c>
      <c r="BF366" t="str">
        <f t="shared" si="339"/>
        <v xml:space="preserve">   0.006</v>
      </c>
      <c r="BG366" t="str">
        <f t="shared" si="366"/>
        <v xml:space="preserve">   3.530</v>
      </c>
      <c r="BH366" t="str">
        <f t="shared" si="364"/>
        <v>しない</v>
      </c>
      <c r="BI366" t="str">
        <f>""</f>
        <v/>
      </c>
      <c r="BJ366" t="str">
        <f t="shared" si="362"/>
        <v>MASTER01</v>
      </c>
      <c r="BK366" t="str">
        <f t="shared" si="367"/>
        <v>2023/01/17</v>
      </c>
      <c r="BL366" t="str">
        <f t="shared" si="350"/>
        <v>NE00</v>
      </c>
      <c r="BM366" t="str">
        <f t="shared" si="351"/>
        <v>１工工務Ｇ</v>
      </c>
      <c r="BN366" t="str">
        <f t="shared" si="359"/>
        <v>46548</v>
      </c>
      <c r="BO366" t="str">
        <f t="shared" si="360"/>
        <v>長畑　玲奈</v>
      </c>
    </row>
    <row r="367" spans="1:67">
      <c r="A367" t="s">
        <v>449</v>
      </c>
      <c r="B367" t="str">
        <f>""</f>
        <v/>
      </c>
      <c r="C367" t="str">
        <f>""</f>
        <v/>
      </c>
      <c r="D367" t="str">
        <f t="shared" si="352"/>
        <v>SHIM</v>
      </c>
      <c r="E367" t="str">
        <f t="shared" si="340"/>
        <v>1Y</v>
      </c>
      <c r="F367" t="str">
        <f t="shared" si="341"/>
        <v>第１工場</v>
      </c>
      <c r="G367" t="str">
        <f t="shared" si="342"/>
        <v>手配</v>
      </c>
      <c r="H367" t="str">
        <f t="shared" si="343"/>
        <v>Ｐ</v>
      </c>
      <c r="I367" t="str">
        <f t="shared" si="328"/>
        <v>6454</v>
      </c>
      <c r="J367" t="str">
        <f t="shared" si="329"/>
        <v>（株）ムロコーポレーション</v>
      </c>
      <c r="K367" t="str">
        <f t="shared" si="326"/>
        <v>01</v>
      </c>
      <c r="L367" t="str">
        <f>""</f>
        <v/>
      </c>
      <c r="M367" t="str">
        <f t="shared" si="365"/>
        <v>――</v>
      </c>
      <c r="N367" t="str">
        <f t="shared" si="365"/>
        <v>――</v>
      </c>
      <c r="O367" t="str">
        <f t="shared" si="344"/>
        <v>Ｍ</v>
      </c>
      <c r="P367" t="str">
        <f t="shared" si="345"/>
        <v>01</v>
      </c>
      <c r="Q367" t="str">
        <f t="shared" si="346"/>
        <v>第１</v>
      </c>
      <c r="R367" t="str">
        <f t="shared" si="347"/>
        <v>1Y</v>
      </c>
      <c r="S367" t="str">
        <f t="shared" si="348"/>
        <v>安城第１工場</v>
      </c>
      <c r="T367" t="str">
        <f t="shared" si="349"/>
        <v>直接</v>
      </c>
      <c r="U367" t="str">
        <f>""</f>
        <v/>
      </c>
      <c r="V367" t="str">
        <f>""</f>
        <v/>
      </c>
      <c r="W367" t="str">
        <f>""</f>
        <v/>
      </c>
      <c r="X367">
        <v>1</v>
      </c>
      <c r="Y367">
        <v>1</v>
      </c>
      <c r="Z367">
        <v>0.73</v>
      </c>
      <c r="AA367">
        <v>0.93</v>
      </c>
      <c r="AB367">
        <v>3</v>
      </c>
      <c r="AC367">
        <v>0.93</v>
      </c>
      <c r="AD367">
        <v>0.93</v>
      </c>
      <c r="AE367">
        <v>1.1000000000000001</v>
      </c>
      <c r="AF367">
        <v>0.5</v>
      </c>
      <c r="AG367" t="str">
        <f t="shared" si="330"/>
        <v>205</v>
      </c>
      <c r="AH367" t="str">
        <f t="shared" si="331"/>
        <v>（株）ムロコーポレーション</v>
      </c>
      <c r="AI367" t="str">
        <f>"049"</f>
        <v>049</v>
      </c>
      <c r="AJ367" t="str">
        <f>""</f>
        <v/>
      </c>
      <c r="AK367" t="str">
        <f>""</f>
        <v/>
      </c>
      <c r="AL367" t="str">
        <f t="shared" si="353"/>
        <v>0370</v>
      </c>
      <c r="AM367" t="str">
        <f t="shared" si="354"/>
        <v>ｼﾑ</v>
      </c>
      <c r="AN367" t="str">
        <f t="shared" si="332"/>
        <v>012</v>
      </c>
      <c r="AO367" t="str">
        <f t="shared" si="333"/>
        <v>TP-131 ﾊﾝﾖｳ</v>
      </c>
      <c r="AP367">
        <v>100</v>
      </c>
      <c r="AQ367" t="str">
        <f>""</f>
        <v/>
      </c>
      <c r="AR367" t="str">
        <f>""</f>
        <v/>
      </c>
      <c r="AS367" t="str">
        <f>""</f>
        <v/>
      </c>
      <c r="AT367" t="str">
        <f t="shared" si="334"/>
        <v>00</v>
      </c>
      <c r="AU367">
        <v>0.5</v>
      </c>
      <c r="AV367" t="str">
        <f>""</f>
        <v/>
      </c>
      <c r="AW367" t="str">
        <f t="shared" si="355"/>
        <v>06</v>
      </c>
      <c r="AX367" t="str">
        <f t="shared" si="356"/>
        <v>計画</v>
      </c>
      <c r="AY367" t="str">
        <f t="shared" si="357"/>
        <v>02</v>
      </c>
      <c r="AZ367" t="str">
        <f t="shared" si="358"/>
        <v>計画・２社</v>
      </c>
      <c r="BA367" t="str">
        <f>""</f>
        <v/>
      </c>
      <c r="BB367" t="str">
        <f t="shared" si="335"/>
        <v>ＴＰ１３１フタナシ</v>
      </c>
      <c r="BC367" t="str">
        <f t="shared" si="336"/>
        <v xml:space="preserve"> 335.000</v>
      </c>
      <c r="BD367" t="str">
        <f t="shared" si="337"/>
        <v xml:space="preserve"> 168.000</v>
      </c>
      <c r="BE367" t="str">
        <f t="shared" si="338"/>
        <v xml:space="preserve"> 103.000</v>
      </c>
      <c r="BF367" t="str">
        <f t="shared" si="339"/>
        <v xml:space="preserve">   0.006</v>
      </c>
      <c r="BG367" t="str">
        <f t="shared" si="366"/>
        <v xml:space="preserve">   3.530</v>
      </c>
      <c r="BH367" t="str">
        <f t="shared" si="364"/>
        <v>しない</v>
      </c>
      <c r="BI367" t="str">
        <f>""</f>
        <v/>
      </c>
      <c r="BJ367" t="str">
        <f t="shared" si="362"/>
        <v>MASTER01</v>
      </c>
      <c r="BK367" t="str">
        <f t="shared" si="367"/>
        <v>2023/01/17</v>
      </c>
      <c r="BL367" t="str">
        <f t="shared" si="350"/>
        <v>NE00</v>
      </c>
      <c r="BM367" t="str">
        <f t="shared" si="351"/>
        <v>１工工務Ｇ</v>
      </c>
      <c r="BN367" t="str">
        <f t="shared" si="359"/>
        <v>46548</v>
      </c>
      <c r="BO367" t="str">
        <f t="shared" si="360"/>
        <v>長畑　玲奈</v>
      </c>
    </row>
    <row r="368" spans="1:67">
      <c r="A368" t="s">
        <v>450</v>
      </c>
      <c r="B368" t="str">
        <f>""</f>
        <v/>
      </c>
      <c r="C368" t="str">
        <f>""</f>
        <v/>
      </c>
      <c r="D368" t="str">
        <f t="shared" si="352"/>
        <v>SHIM</v>
      </c>
      <c r="E368" t="str">
        <f t="shared" si="340"/>
        <v>1Y</v>
      </c>
      <c r="F368" t="str">
        <f t="shared" si="341"/>
        <v>第１工場</v>
      </c>
      <c r="G368" t="str">
        <f t="shared" si="342"/>
        <v>手配</v>
      </c>
      <c r="H368" t="str">
        <f t="shared" si="343"/>
        <v>Ｐ</v>
      </c>
      <c r="I368" t="str">
        <f t="shared" si="328"/>
        <v>6454</v>
      </c>
      <c r="J368" t="str">
        <f t="shared" si="329"/>
        <v>（株）ムロコーポレーション</v>
      </c>
      <c r="K368" t="str">
        <f t="shared" si="326"/>
        <v>01</v>
      </c>
      <c r="L368" t="str">
        <f>""</f>
        <v/>
      </c>
      <c r="M368" t="str">
        <f t="shared" si="365"/>
        <v>――</v>
      </c>
      <c r="N368" t="str">
        <f t="shared" si="365"/>
        <v>――</v>
      </c>
      <c r="O368" t="str">
        <f t="shared" si="344"/>
        <v>Ｍ</v>
      </c>
      <c r="P368" t="str">
        <f t="shared" si="345"/>
        <v>01</v>
      </c>
      <c r="Q368" t="str">
        <f t="shared" si="346"/>
        <v>第１</v>
      </c>
      <c r="R368" t="str">
        <f t="shared" si="347"/>
        <v>1Y</v>
      </c>
      <c r="S368" t="str">
        <f t="shared" si="348"/>
        <v>安城第１工場</v>
      </c>
      <c r="T368" t="str">
        <f t="shared" si="349"/>
        <v>直接</v>
      </c>
      <c r="U368" t="str">
        <f>""</f>
        <v/>
      </c>
      <c r="V368" t="str">
        <f>""</f>
        <v/>
      </c>
      <c r="W368" t="str">
        <f>""</f>
        <v/>
      </c>
      <c r="X368">
        <v>1</v>
      </c>
      <c r="Y368">
        <v>1</v>
      </c>
      <c r="Z368">
        <v>0.73</v>
      </c>
      <c r="AA368">
        <v>0.93</v>
      </c>
      <c r="AB368">
        <v>3</v>
      </c>
      <c r="AC368">
        <v>0.93</v>
      </c>
      <c r="AD368">
        <v>0.93</v>
      </c>
      <c r="AE368">
        <v>1.1000000000000001</v>
      </c>
      <c r="AF368">
        <v>0.5</v>
      </c>
      <c r="AG368" t="str">
        <f t="shared" si="330"/>
        <v>205</v>
      </c>
      <c r="AH368" t="str">
        <f t="shared" si="331"/>
        <v>（株）ムロコーポレーション</v>
      </c>
      <c r="AI368" t="str">
        <f>"050"</f>
        <v>050</v>
      </c>
      <c r="AJ368" t="str">
        <f>""</f>
        <v/>
      </c>
      <c r="AK368" t="str">
        <f>""</f>
        <v/>
      </c>
      <c r="AL368" t="str">
        <f t="shared" si="353"/>
        <v>0370</v>
      </c>
      <c r="AM368" t="str">
        <f t="shared" si="354"/>
        <v>ｼﾑ</v>
      </c>
      <c r="AN368" t="str">
        <f t="shared" si="332"/>
        <v>012</v>
      </c>
      <c r="AO368" t="str">
        <f t="shared" si="333"/>
        <v>TP-131 ﾊﾝﾖｳ</v>
      </c>
      <c r="AP368">
        <v>100</v>
      </c>
      <c r="AQ368" t="str">
        <f>""</f>
        <v/>
      </c>
      <c r="AR368" t="str">
        <f>""</f>
        <v/>
      </c>
      <c r="AS368" t="str">
        <f>""</f>
        <v/>
      </c>
      <c r="AT368" t="str">
        <f t="shared" si="334"/>
        <v>00</v>
      </c>
      <c r="AU368">
        <v>0.5</v>
      </c>
      <c r="AV368" t="str">
        <f>""</f>
        <v/>
      </c>
      <c r="AW368" t="str">
        <f t="shared" si="355"/>
        <v>06</v>
      </c>
      <c r="AX368" t="str">
        <f t="shared" si="356"/>
        <v>計画</v>
      </c>
      <c r="AY368" t="str">
        <f t="shared" si="357"/>
        <v>02</v>
      </c>
      <c r="AZ368" t="str">
        <f t="shared" si="358"/>
        <v>計画・２社</v>
      </c>
      <c r="BA368" t="str">
        <f>""</f>
        <v/>
      </c>
      <c r="BB368" t="str">
        <f t="shared" si="335"/>
        <v>ＴＰ１３１フタナシ</v>
      </c>
      <c r="BC368" t="str">
        <f t="shared" si="336"/>
        <v xml:space="preserve"> 335.000</v>
      </c>
      <c r="BD368" t="str">
        <f t="shared" si="337"/>
        <v xml:space="preserve"> 168.000</v>
      </c>
      <c r="BE368" t="str">
        <f t="shared" si="338"/>
        <v xml:space="preserve"> 103.000</v>
      </c>
      <c r="BF368" t="str">
        <f t="shared" si="339"/>
        <v xml:space="preserve">   0.006</v>
      </c>
      <c r="BG368" t="str">
        <f t="shared" si="366"/>
        <v xml:space="preserve">   3.530</v>
      </c>
      <c r="BH368" t="str">
        <f t="shared" si="364"/>
        <v>しない</v>
      </c>
      <c r="BI368" t="str">
        <f>""</f>
        <v/>
      </c>
      <c r="BJ368" t="str">
        <f t="shared" si="362"/>
        <v>MASTER01</v>
      </c>
      <c r="BK368" t="str">
        <f t="shared" si="367"/>
        <v>2023/01/17</v>
      </c>
      <c r="BL368" t="str">
        <f t="shared" si="350"/>
        <v>NE00</v>
      </c>
      <c r="BM368" t="str">
        <f t="shared" si="351"/>
        <v>１工工務Ｇ</v>
      </c>
      <c r="BN368" t="str">
        <f t="shared" si="359"/>
        <v>46548</v>
      </c>
      <c r="BO368" t="str">
        <f t="shared" si="360"/>
        <v>長畑　玲奈</v>
      </c>
    </row>
    <row r="369" spans="1:67">
      <c r="A369" t="s">
        <v>451</v>
      </c>
      <c r="B369" t="str">
        <f>""</f>
        <v/>
      </c>
      <c r="C369" t="str">
        <f>""</f>
        <v/>
      </c>
      <c r="D369" t="str">
        <f t="shared" si="352"/>
        <v>SHIM</v>
      </c>
      <c r="E369" t="str">
        <f t="shared" si="340"/>
        <v>1Y</v>
      </c>
      <c r="F369" t="str">
        <f t="shared" si="341"/>
        <v>第１工場</v>
      </c>
      <c r="G369" t="str">
        <f t="shared" si="342"/>
        <v>手配</v>
      </c>
      <c r="H369" t="str">
        <f t="shared" si="343"/>
        <v>Ｐ</v>
      </c>
      <c r="I369" t="str">
        <f t="shared" si="328"/>
        <v>6454</v>
      </c>
      <c r="J369" t="str">
        <f t="shared" si="329"/>
        <v>（株）ムロコーポレーション</v>
      </c>
      <c r="K369" t="str">
        <f t="shared" si="326"/>
        <v>01</v>
      </c>
      <c r="L369" t="str">
        <f>""</f>
        <v/>
      </c>
      <c r="M369" t="str">
        <f t="shared" si="365"/>
        <v>――</v>
      </c>
      <c r="N369" t="str">
        <f t="shared" si="365"/>
        <v>――</v>
      </c>
      <c r="O369" t="str">
        <f t="shared" si="344"/>
        <v>Ｍ</v>
      </c>
      <c r="P369" t="str">
        <f t="shared" si="345"/>
        <v>01</v>
      </c>
      <c r="Q369" t="str">
        <f t="shared" si="346"/>
        <v>第１</v>
      </c>
      <c r="R369" t="str">
        <f t="shared" si="347"/>
        <v>1Y</v>
      </c>
      <c r="S369" t="str">
        <f t="shared" si="348"/>
        <v>安城第１工場</v>
      </c>
      <c r="T369" t="str">
        <f t="shared" si="349"/>
        <v>直接</v>
      </c>
      <c r="U369" t="str">
        <f>""</f>
        <v/>
      </c>
      <c r="V369" t="str">
        <f>""</f>
        <v/>
      </c>
      <c r="W369" t="str">
        <f>""</f>
        <v/>
      </c>
      <c r="X369">
        <v>1</v>
      </c>
      <c r="Y369">
        <v>1</v>
      </c>
      <c r="Z369">
        <v>0.73</v>
      </c>
      <c r="AA369">
        <v>0.93</v>
      </c>
      <c r="AB369">
        <v>3</v>
      </c>
      <c r="AC369">
        <v>0.93</v>
      </c>
      <c r="AD369">
        <v>0.93</v>
      </c>
      <c r="AE369">
        <v>1.1000000000000001</v>
      </c>
      <c r="AF369">
        <v>0.5</v>
      </c>
      <c r="AG369" t="str">
        <f t="shared" si="330"/>
        <v>205</v>
      </c>
      <c r="AH369" t="str">
        <f t="shared" si="331"/>
        <v>（株）ムロコーポレーション</v>
      </c>
      <c r="AI369" t="str">
        <f>"051"</f>
        <v>051</v>
      </c>
      <c r="AJ369" t="str">
        <f>""</f>
        <v/>
      </c>
      <c r="AK369" t="str">
        <f>""</f>
        <v/>
      </c>
      <c r="AL369" t="str">
        <f t="shared" si="353"/>
        <v>0370</v>
      </c>
      <c r="AM369" t="str">
        <f t="shared" si="354"/>
        <v>ｼﾑ</v>
      </c>
      <c r="AN369" t="str">
        <f t="shared" si="332"/>
        <v>012</v>
      </c>
      <c r="AO369" t="str">
        <f t="shared" si="333"/>
        <v>TP-131 ﾊﾝﾖｳ</v>
      </c>
      <c r="AP369">
        <v>100</v>
      </c>
      <c r="AQ369" t="str">
        <f>""</f>
        <v/>
      </c>
      <c r="AR369" t="str">
        <f>""</f>
        <v/>
      </c>
      <c r="AS369" t="str">
        <f>""</f>
        <v/>
      </c>
      <c r="AT369" t="str">
        <f t="shared" si="334"/>
        <v>00</v>
      </c>
      <c r="AU369">
        <v>0.5</v>
      </c>
      <c r="AV369" t="str">
        <f>""</f>
        <v/>
      </c>
      <c r="AW369" t="str">
        <f t="shared" si="355"/>
        <v>06</v>
      </c>
      <c r="AX369" t="str">
        <f t="shared" si="356"/>
        <v>計画</v>
      </c>
      <c r="AY369" t="str">
        <f t="shared" si="357"/>
        <v>02</v>
      </c>
      <c r="AZ369" t="str">
        <f t="shared" si="358"/>
        <v>計画・２社</v>
      </c>
      <c r="BA369" t="str">
        <f>""</f>
        <v/>
      </c>
      <c r="BB369" t="str">
        <f t="shared" si="335"/>
        <v>ＴＰ１３１フタナシ</v>
      </c>
      <c r="BC369" t="str">
        <f t="shared" si="336"/>
        <v xml:space="preserve"> 335.000</v>
      </c>
      <c r="BD369" t="str">
        <f t="shared" si="337"/>
        <v xml:space="preserve"> 168.000</v>
      </c>
      <c r="BE369" t="str">
        <f t="shared" si="338"/>
        <v xml:space="preserve"> 103.000</v>
      </c>
      <c r="BF369" t="str">
        <f t="shared" si="339"/>
        <v xml:space="preserve">   0.006</v>
      </c>
      <c r="BG369" t="str">
        <f t="shared" si="366"/>
        <v xml:space="preserve">   3.530</v>
      </c>
      <c r="BH369" t="str">
        <f t="shared" si="364"/>
        <v>しない</v>
      </c>
      <c r="BI369" t="str">
        <f>""</f>
        <v/>
      </c>
      <c r="BJ369" t="str">
        <f t="shared" si="362"/>
        <v>MASTER01</v>
      </c>
      <c r="BK369" t="str">
        <f t="shared" si="367"/>
        <v>2023/01/17</v>
      </c>
      <c r="BL369" t="str">
        <f t="shared" si="350"/>
        <v>NE00</v>
      </c>
      <c r="BM369" t="str">
        <f t="shared" si="351"/>
        <v>１工工務Ｇ</v>
      </c>
      <c r="BN369" t="str">
        <f t="shared" si="359"/>
        <v>46548</v>
      </c>
      <c r="BO369" t="str">
        <f t="shared" si="360"/>
        <v>長畑　玲奈</v>
      </c>
    </row>
    <row r="370" spans="1:67">
      <c r="A370" t="s">
        <v>452</v>
      </c>
      <c r="B370" t="str">
        <f>""</f>
        <v/>
      </c>
      <c r="C370" t="str">
        <f>""</f>
        <v/>
      </c>
      <c r="D370" t="str">
        <f t="shared" si="352"/>
        <v>SHIM</v>
      </c>
      <c r="E370" t="str">
        <f t="shared" si="340"/>
        <v>1Y</v>
      </c>
      <c r="F370" t="str">
        <f t="shared" si="341"/>
        <v>第１工場</v>
      </c>
      <c r="G370" t="str">
        <f t="shared" si="342"/>
        <v>手配</v>
      </c>
      <c r="H370" t="str">
        <f t="shared" si="343"/>
        <v>Ｐ</v>
      </c>
      <c r="I370" t="str">
        <f t="shared" si="328"/>
        <v>6454</v>
      </c>
      <c r="J370" t="str">
        <f t="shared" si="329"/>
        <v>（株）ムロコーポレーション</v>
      </c>
      <c r="K370" t="str">
        <f t="shared" si="326"/>
        <v>01</v>
      </c>
      <c r="L370" t="str">
        <f>""</f>
        <v/>
      </c>
      <c r="M370" t="str">
        <f t="shared" si="365"/>
        <v>――</v>
      </c>
      <c r="N370" t="str">
        <f t="shared" si="365"/>
        <v>――</v>
      </c>
      <c r="O370" t="str">
        <f t="shared" si="344"/>
        <v>Ｍ</v>
      </c>
      <c r="P370" t="str">
        <f t="shared" si="345"/>
        <v>01</v>
      </c>
      <c r="Q370" t="str">
        <f t="shared" si="346"/>
        <v>第１</v>
      </c>
      <c r="R370" t="str">
        <f t="shared" si="347"/>
        <v>1Y</v>
      </c>
      <c r="S370" t="str">
        <f t="shared" si="348"/>
        <v>安城第１工場</v>
      </c>
      <c r="T370" t="str">
        <f t="shared" si="349"/>
        <v>直接</v>
      </c>
      <c r="U370" t="str">
        <f>""</f>
        <v/>
      </c>
      <c r="V370" t="str">
        <f>""</f>
        <v/>
      </c>
      <c r="W370" t="str">
        <f>""</f>
        <v/>
      </c>
      <c r="X370">
        <v>1</v>
      </c>
      <c r="Y370">
        <v>1</v>
      </c>
      <c r="Z370">
        <v>0.73</v>
      </c>
      <c r="AA370">
        <v>0.93</v>
      </c>
      <c r="AB370">
        <v>3</v>
      </c>
      <c r="AC370">
        <v>0.93</v>
      </c>
      <c r="AD370">
        <v>0.93</v>
      </c>
      <c r="AE370">
        <v>1.1000000000000001</v>
      </c>
      <c r="AF370">
        <v>0.5</v>
      </c>
      <c r="AG370" t="str">
        <f t="shared" si="330"/>
        <v>205</v>
      </c>
      <c r="AH370" t="str">
        <f t="shared" si="331"/>
        <v>（株）ムロコーポレーション</v>
      </c>
      <c r="AI370" t="str">
        <f>"052"</f>
        <v>052</v>
      </c>
      <c r="AJ370" t="str">
        <f>""</f>
        <v/>
      </c>
      <c r="AK370" t="str">
        <f>""</f>
        <v/>
      </c>
      <c r="AL370" t="str">
        <f t="shared" si="353"/>
        <v>0370</v>
      </c>
      <c r="AM370" t="str">
        <f t="shared" si="354"/>
        <v>ｼﾑ</v>
      </c>
      <c r="AN370" t="str">
        <f t="shared" si="332"/>
        <v>012</v>
      </c>
      <c r="AO370" t="str">
        <f t="shared" si="333"/>
        <v>TP-131 ﾊﾝﾖｳ</v>
      </c>
      <c r="AP370">
        <v>100</v>
      </c>
      <c r="AQ370" t="str">
        <f>""</f>
        <v/>
      </c>
      <c r="AR370" t="str">
        <f>""</f>
        <v/>
      </c>
      <c r="AS370" t="str">
        <f>""</f>
        <v/>
      </c>
      <c r="AT370" t="str">
        <f t="shared" si="334"/>
        <v>00</v>
      </c>
      <c r="AU370">
        <v>0.5</v>
      </c>
      <c r="AV370" t="str">
        <f>""</f>
        <v/>
      </c>
      <c r="AW370" t="str">
        <f t="shared" si="355"/>
        <v>06</v>
      </c>
      <c r="AX370" t="str">
        <f t="shared" si="356"/>
        <v>計画</v>
      </c>
      <c r="AY370" t="str">
        <f t="shared" si="357"/>
        <v>02</v>
      </c>
      <c r="AZ370" t="str">
        <f t="shared" si="358"/>
        <v>計画・２社</v>
      </c>
      <c r="BA370" t="str">
        <f>""</f>
        <v/>
      </c>
      <c r="BB370" t="str">
        <f t="shared" si="335"/>
        <v>ＴＰ１３１フタナシ</v>
      </c>
      <c r="BC370" t="str">
        <f t="shared" si="336"/>
        <v xml:space="preserve"> 335.000</v>
      </c>
      <c r="BD370" t="str">
        <f t="shared" si="337"/>
        <v xml:space="preserve"> 168.000</v>
      </c>
      <c r="BE370" t="str">
        <f t="shared" si="338"/>
        <v xml:space="preserve"> 103.000</v>
      </c>
      <c r="BF370" t="str">
        <f t="shared" si="339"/>
        <v xml:space="preserve">   0.006</v>
      </c>
      <c r="BG370" t="str">
        <f t="shared" si="366"/>
        <v xml:space="preserve">   3.530</v>
      </c>
      <c r="BH370" t="str">
        <f t="shared" si="364"/>
        <v>しない</v>
      </c>
      <c r="BI370" t="str">
        <f>""</f>
        <v/>
      </c>
      <c r="BJ370" t="str">
        <f t="shared" si="362"/>
        <v>MASTER01</v>
      </c>
      <c r="BK370" t="str">
        <f t="shared" si="367"/>
        <v>2023/01/17</v>
      </c>
      <c r="BL370" t="str">
        <f t="shared" si="350"/>
        <v>NE00</v>
      </c>
      <c r="BM370" t="str">
        <f t="shared" si="351"/>
        <v>１工工務Ｇ</v>
      </c>
      <c r="BN370" t="str">
        <f t="shared" si="359"/>
        <v>46548</v>
      </c>
      <c r="BO370" t="str">
        <f t="shared" si="360"/>
        <v>長畑　玲奈</v>
      </c>
    </row>
    <row r="371" spans="1:67">
      <c r="A371" t="s">
        <v>453</v>
      </c>
      <c r="B371" t="str">
        <f>""</f>
        <v/>
      </c>
      <c r="C371" t="str">
        <f>""</f>
        <v/>
      </c>
      <c r="D371" t="str">
        <f t="shared" si="352"/>
        <v>SHIM</v>
      </c>
      <c r="E371" t="str">
        <f t="shared" si="340"/>
        <v>1Y</v>
      </c>
      <c r="F371" t="str">
        <f t="shared" si="341"/>
        <v>第１工場</v>
      </c>
      <c r="G371" t="str">
        <f t="shared" si="342"/>
        <v>手配</v>
      </c>
      <c r="H371" t="str">
        <f t="shared" si="343"/>
        <v>Ｐ</v>
      </c>
      <c r="I371" t="str">
        <f t="shared" si="328"/>
        <v>6454</v>
      </c>
      <c r="J371" t="str">
        <f t="shared" si="329"/>
        <v>（株）ムロコーポレーション</v>
      </c>
      <c r="K371" t="str">
        <f t="shared" si="326"/>
        <v>01</v>
      </c>
      <c r="L371" t="str">
        <f>""</f>
        <v/>
      </c>
      <c r="M371" t="str">
        <f t="shared" si="365"/>
        <v>――</v>
      </c>
      <c r="N371" t="str">
        <f t="shared" si="365"/>
        <v>――</v>
      </c>
      <c r="O371" t="str">
        <f t="shared" si="344"/>
        <v>Ｍ</v>
      </c>
      <c r="P371" t="str">
        <f t="shared" si="345"/>
        <v>01</v>
      </c>
      <c r="Q371" t="str">
        <f t="shared" si="346"/>
        <v>第１</v>
      </c>
      <c r="R371" t="str">
        <f t="shared" si="347"/>
        <v>1Y</v>
      </c>
      <c r="S371" t="str">
        <f t="shared" si="348"/>
        <v>安城第１工場</v>
      </c>
      <c r="T371" t="str">
        <f t="shared" si="349"/>
        <v>直接</v>
      </c>
      <c r="U371" t="str">
        <f>""</f>
        <v/>
      </c>
      <c r="V371" t="str">
        <f>""</f>
        <v/>
      </c>
      <c r="W371" t="str">
        <f>""</f>
        <v/>
      </c>
      <c r="X371">
        <v>1</v>
      </c>
      <c r="Y371">
        <v>1</v>
      </c>
      <c r="Z371">
        <v>0.73</v>
      </c>
      <c r="AA371">
        <v>0.93</v>
      </c>
      <c r="AB371">
        <v>3</v>
      </c>
      <c r="AC371">
        <v>0.93</v>
      </c>
      <c r="AD371">
        <v>0.93</v>
      </c>
      <c r="AE371">
        <v>1.1000000000000001</v>
      </c>
      <c r="AF371">
        <v>0.5</v>
      </c>
      <c r="AG371" t="str">
        <f t="shared" si="330"/>
        <v>205</v>
      </c>
      <c r="AH371" t="str">
        <f t="shared" si="331"/>
        <v>（株）ムロコーポレーション</v>
      </c>
      <c r="AI371" t="str">
        <f>"053"</f>
        <v>053</v>
      </c>
      <c r="AJ371" t="str">
        <f>""</f>
        <v/>
      </c>
      <c r="AK371" t="str">
        <f>""</f>
        <v/>
      </c>
      <c r="AL371" t="str">
        <f t="shared" si="353"/>
        <v>0370</v>
      </c>
      <c r="AM371" t="str">
        <f t="shared" si="354"/>
        <v>ｼﾑ</v>
      </c>
      <c r="AN371" t="str">
        <f t="shared" si="332"/>
        <v>012</v>
      </c>
      <c r="AO371" t="str">
        <f t="shared" si="333"/>
        <v>TP-131 ﾊﾝﾖｳ</v>
      </c>
      <c r="AP371">
        <v>100</v>
      </c>
      <c r="AQ371" t="str">
        <f>""</f>
        <v/>
      </c>
      <c r="AR371" t="str">
        <f>""</f>
        <v/>
      </c>
      <c r="AS371" t="str">
        <f>""</f>
        <v/>
      </c>
      <c r="AT371" t="str">
        <f t="shared" si="334"/>
        <v>00</v>
      </c>
      <c r="AU371">
        <v>0.5</v>
      </c>
      <c r="AV371" t="str">
        <f>""</f>
        <v/>
      </c>
      <c r="AW371" t="str">
        <f t="shared" si="355"/>
        <v>06</v>
      </c>
      <c r="AX371" t="str">
        <f t="shared" si="356"/>
        <v>計画</v>
      </c>
      <c r="AY371" t="str">
        <f t="shared" si="357"/>
        <v>02</v>
      </c>
      <c r="AZ371" t="str">
        <f t="shared" si="358"/>
        <v>計画・２社</v>
      </c>
      <c r="BA371" t="str">
        <f>""</f>
        <v/>
      </c>
      <c r="BB371" t="str">
        <f t="shared" si="335"/>
        <v>ＴＰ１３１フタナシ</v>
      </c>
      <c r="BC371" t="str">
        <f t="shared" si="336"/>
        <v xml:space="preserve"> 335.000</v>
      </c>
      <c r="BD371" t="str">
        <f t="shared" si="337"/>
        <v xml:space="preserve"> 168.000</v>
      </c>
      <c r="BE371" t="str">
        <f t="shared" si="338"/>
        <v xml:space="preserve"> 103.000</v>
      </c>
      <c r="BF371" t="str">
        <f t="shared" si="339"/>
        <v xml:space="preserve">   0.006</v>
      </c>
      <c r="BG371" t="str">
        <f t="shared" si="366"/>
        <v xml:space="preserve">   3.530</v>
      </c>
      <c r="BH371" t="str">
        <f t="shared" si="364"/>
        <v>しない</v>
      </c>
      <c r="BI371" t="str">
        <f>""</f>
        <v/>
      </c>
      <c r="BJ371" t="str">
        <f t="shared" si="362"/>
        <v>MASTER01</v>
      </c>
      <c r="BK371" t="str">
        <f t="shared" si="367"/>
        <v>2023/01/17</v>
      </c>
      <c r="BL371" t="str">
        <f t="shared" si="350"/>
        <v>NE00</v>
      </c>
      <c r="BM371" t="str">
        <f t="shared" si="351"/>
        <v>１工工務Ｇ</v>
      </c>
      <c r="BN371" t="str">
        <f t="shared" si="359"/>
        <v>46548</v>
      </c>
      <c r="BO371" t="str">
        <f t="shared" si="360"/>
        <v>長畑　玲奈</v>
      </c>
    </row>
    <row r="372" spans="1:67">
      <c r="A372" t="s">
        <v>454</v>
      </c>
      <c r="B372" t="str">
        <f>""</f>
        <v/>
      </c>
      <c r="C372" t="str">
        <f>""</f>
        <v/>
      </c>
      <c r="D372" t="str">
        <f t="shared" si="352"/>
        <v>SHIM</v>
      </c>
      <c r="E372" t="str">
        <f t="shared" si="340"/>
        <v>1Y</v>
      </c>
      <c r="F372" t="str">
        <f t="shared" si="341"/>
        <v>第１工場</v>
      </c>
      <c r="G372" t="str">
        <f t="shared" si="342"/>
        <v>手配</v>
      </c>
      <c r="H372" t="str">
        <f t="shared" si="343"/>
        <v>Ｐ</v>
      </c>
      <c r="I372" t="str">
        <f t="shared" si="328"/>
        <v>6454</v>
      </c>
      <c r="J372" t="str">
        <f t="shared" si="329"/>
        <v>（株）ムロコーポレーション</v>
      </c>
      <c r="K372" t="str">
        <f t="shared" si="326"/>
        <v>01</v>
      </c>
      <c r="L372" t="str">
        <f>""</f>
        <v/>
      </c>
      <c r="M372" t="str">
        <f t="shared" si="365"/>
        <v>――</v>
      </c>
      <c r="N372" t="str">
        <f t="shared" si="365"/>
        <v>――</v>
      </c>
      <c r="O372" t="str">
        <f t="shared" si="344"/>
        <v>Ｍ</v>
      </c>
      <c r="P372" t="str">
        <f t="shared" si="345"/>
        <v>01</v>
      </c>
      <c r="Q372" t="str">
        <f t="shared" si="346"/>
        <v>第１</v>
      </c>
      <c r="R372" t="str">
        <f t="shared" si="347"/>
        <v>1Y</v>
      </c>
      <c r="S372" t="str">
        <f t="shared" si="348"/>
        <v>安城第１工場</v>
      </c>
      <c r="T372" t="str">
        <f t="shared" si="349"/>
        <v>直接</v>
      </c>
      <c r="U372" t="str">
        <f>""</f>
        <v/>
      </c>
      <c r="V372" t="str">
        <f>""</f>
        <v/>
      </c>
      <c r="W372" t="str">
        <f>""</f>
        <v/>
      </c>
      <c r="X372">
        <v>1</v>
      </c>
      <c r="Y372">
        <v>1</v>
      </c>
      <c r="Z372">
        <v>0.73</v>
      </c>
      <c r="AA372">
        <v>0.93</v>
      </c>
      <c r="AB372">
        <v>3</v>
      </c>
      <c r="AC372">
        <v>0.93</v>
      </c>
      <c r="AD372">
        <v>0.93</v>
      </c>
      <c r="AE372">
        <v>1.1000000000000001</v>
      </c>
      <c r="AF372">
        <v>0.5</v>
      </c>
      <c r="AG372" t="str">
        <f t="shared" si="330"/>
        <v>205</v>
      </c>
      <c r="AH372" t="str">
        <f t="shared" si="331"/>
        <v>（株）ムロコーポレーション</v>
      </c>
      <c r="AI372" t="str">
        <f>"054"</f>
        <v>054</v>
      </c>
      <c r="AJ372" t="str">
        <f>""</f>
        <v/>
      </c>
      <c r="AK372" t="str">
        <f>""</f>
        <v/>
      </c>
      <c r="AL372" t="str">
        <f t="shared" si="353"/>
        <v>0370</v>
      </c>
      <c r="AM372" t="str">
        <f t="shared" si="354"/>
        <v>ｼﾑ</v>
      </c>
      <c r="AN372" t="str">
        <f t="shared" si="332"/>
        <v>012</v>
      </c>
      <c r="AO372" t="str">
        <f t="shared" si="333"/>
        <v>TP-131 ﾊﾝﾖｳ</v>
      </c>
      <c r="AP372">
        <v>100</v>
      </c>
      <c r="AQ372" t="str">
        <f>""</f>
        <v/>
      </c>
      <c r="AR372" t="str">
        <f>""</f>
        <v/>
      </c>
      <c r="AS372" t="str">
        <f>""</f>
        <v/>
      </c>
      <c r="AT372" t="str">
        <f t="shared" si="334"/>
        <v>00</v>
      </c>
      <c r="AU372">
        <v>0.5</v>
      </c>
      <c r="AV372" t="str">
        <f>""</f>
        <v/>
      </c>
      <c r="AW372" t="str">
        <f t="shared" si="355"/>
        <v>06</v>
      </c>
      <c r="AX372" t="str">
        <f t="shared" si="356"/>
        <v>計画</v>
      </c>
      <c r="AY372" t="str">
        <f t="shared" si="357"/>
        <v>02</v>
      </c>
      <c r="AZ372" t="str">
        <f t="shared" si="358"/>
        <v>計画・２社</v>
      </c>
      <c r="BA372" t="str">
        <f>""</f>
        <v/>
      </c>
      <c r="BB372" t="str">
        <f t="shared" si="335"/>
        <v>ＴＰ１３１フタナシ</v>
      </c>
      <c r="BC372" t="str">
        <f t="shared" si="336"/>
        <v xml:space="preserve"> 335.000</v>
      </c>
      <c r="BD372" t="str">
        <f t="shared" si="337"/>
        <v xml:space="preserve"> 168.000</v>
      </c>
      <c r="BE372" t="str">
        <f t="shared" si="338"/>
        <v xml:space="preserve"> 103.000</v>
      </c>
      <c r="BF372" t="str">
        <f t="shared" si="339"/>
        <v xml:space="preserve">   0.006</v>
      </c>
      <c r="BG372" t="str">
        <f t="shared" si="366"/>
        <v xml:space="preserve">   3.530</v>
      </c>
      <c r="BH372" t="str">
        <f t="shared" si="364"/>
        <v>しない</v>
      </c>
      <c r="BI372" t="str">
        <f>""</f>
        <v/>
      </c>
      <c r="BJ372" t="str">
        <f t="shared" si="362"/>
        <v>MASTER01</v>
      </c>
      <c r="BK372" t="str">
        <f t="shared" si="367"/>
        <v>2023/01/17</v>
      </c>
      <c r="BL372" t="str">
        <f t="shared" si="350"/>
        <v>NE00</v>
      </c>
      <c r="BM372" t="str">
        <f t="shared" si="351"/>
        <v>１工工務Ｇ</v>
      </c>
      <c r="BN372" t="str">
        <f t="shared" si="359"/>
        <v>46548</v>
      </c>
      <c r="BO372" t="str">
        <f t="shared" si="360"/>
        <v>長畑　玲奈</v>
      </c>
    </row>
    <row r="373" spans="1:67">
      <c r="A373" t="s">
        <v>455</v>
      </c>
      <c r="B373" t="str">
        <f>""</f>
        <v/>
      </c>
      <c r="C373" t="str">
        <f>""</f>
        <v/>
      </c>
      <c r="D373" t="str">
        <f t="shared" si="352"/>
        <v>SHIM</v>
      </c>
      <c r="E373" t="str">
        <f t="shared" si="340"/>
        <v>1Y</v>
      </c>
      <c r="F373" t="str">
        <f t="shared" si="341"/>
        <v>第１工場</v>
      </c>
      <c r="G373" t="str">
        <f t="shared" si="342"/>
        <v>手配</v>
      </c>
      <c r="H373" t="str">
        <f t="shared" si="343"/>
        <v>Ｐ</v>
      </c>
      <c r="I373" t="str">
        <f t="shared" si="328"/>
        <v>6454</v>
      </c>
      <c r="J373" t="str">
        <f t="shared" si="329"/>
        <v>（株）ムロコーポレーション</v>
      </c>
      <c r="K373" t="str">
        <f t="shared" si="326"/>
        <v>01</v>
      </c>
      <c r="L373" t="str">
        <f>""</f>
        <v/>
      </c>
      <c r="M373" t="str">
        <f t="shared" si="365"/>
        <v>――</v>
      </c>
      <c r="N373" t="str">
        <f t="shared" si="365"/>
        <v>――</v>
      </c>
      <c r="O373" t="str">
        <f t="shared" si="344"/>
        <v>Ｍ</v>
      </c>
      <c r="P373" t="str">
        <f t="shared" si="345"/>
        <v>01</v>
      </c>
      <c r="Q373" t="str">
        <f t="shared" si="346"/>
        <v>第１</v>
      </c>
      <c r="R373" t="str">
        <f t="shared" si="347"/>
        <v>1Y</v>
      </c>
      <c r="S373" t="str">
        <f t="shared" si="348"/>
        <v>安城第１工場</v>
      </c>
      <c r="T373" t="str">
        <f t="shared" si="349"/>
        <v>直接</v>
      </c>
      <c r="U373" t="str">
        <f>""</f>
        <v/>
      </c>
      <c r="V373" t="str">
        <f>""</f>
        <v/>
      </c>
      <c r="W373" t="str">
        <f>""</f>
        <v/>
      </c>
      <c r="X373">
        <v>1</v>
      </c>
      <c r="Y373">
        <v>1</v>
      </c>
      <c r="Z373">
        <v>0.73</v>
      </c>
      <c r="AA373">
        <v>0.93</v>
      </c>
      <c r="AB373">
        <v>3</v>
      </c>
      <c r="AC373">
        <v>0.93</v>
      </c>
      <c r="AD373">
        <v>0.93</v>
      </c>
      <c r="AE373">
        <v>1.1000000000000001</v>
      </c>
      <c r="AF373">
        <v>0.5</v>
      </c>
      <c r="AG373" t="str">
        <f t="shared" si="330"/>
        <v>205</v>
      </c>
      <c r="AH373" t="str">
        <f t="shared" si="331"/>
        <v>（株）ムロコーポレーション</v>
      </c>
      <c r="AI373" t="str">
        <f>"055"</f>
        <v>055</v>
      </c>
      <c r="AJ373" t="str">
        <f>""</f>
        <v/>
      </c>
      <c r="AK373" t="str">
        <f>""</f>
        <v/>
      </c>
      <c r="AL373" t="str">
        <f t="shared" si="353"/>
        <v>0370</v>
      </c>
      <c r="AM373" t="str">
        <f t="shared" si="354"/>
        <v>ｼﾑ</v>
      </c>
      <c r="AN373" t="str">
        <f t="shared" si="332"/>
        <v>012</v>
      </c>
      <c r="AO373" t="str">
        <f t="shared" si="333"/>
        <v>TP-131 ﾊﾝﾖｳ</v>
      </c>
      <c r="AP373">
        <v>100</v>
      </c>
      <c r="AQ373" t="str">
        <f>""</f>
        <v/>
      </c>
      <c r="AR373" t="str">
        <f>""</f>
        <v/>
      </c>
      <c r="AS373" t="str">
        <f>""</f>
        <v/>
      </c>
      <c r="AT373" t="str">
        <f t="shared" si="334"/>
        <v>00</v>
      </c>
      <c r="AU373">
        <v>0.5</v>
      </c>
      <c r="AV373" t="str">
        <f>""</f>
        <v/>
      </c>
      <c r="AW373" t="str">
        <f t="shared" si="355"/>
        <v>06</v>
      </c>
      <c r="AX373" t="str">
        <f t="shared" si="356"/>
        <v>計画</v>
      </c>
      <c r="AY373" t="str">
        <f t="shared" si="357"/>
        <v>02</v>
      </c>
      <c r="AZ373" t="str">
        <f t="shared" si="358"/>
        <v>計画・２社</v>
      </c>
      <c r="BA373" t="str">
        <f>""</f>
        <v/>
      </c>
      <c r="BB373" t="str">
        <f t="shared" si="335"/>
        <v>ＴＰ１３１フタナシ</v>
      </c>
      <c r="BC373" t="str">
        <f t="shared" si="336"/>
        <v xml:space="preserve"> 335.000</v>
      </c>
      <c r="BD373" t="str">
        <f t="shared" si="337"/>
        <v xml:space="preserve"> 168.000</v>
      </c>
      <c r="BE373" t="str">
        <f t="shared" si="338"/>
        <v xml:space="preserve"> 103.000</v>
      </c>
      <c r="BF373" t="str">
        <f t="shared" si="339"/>
        <v xml:space="preserve">   0.006</v>
      </c>
      <c r="BG373" t="str">
        <f t="shared" si="366"/>
        <v xml:space="preserve">   3.530</v>
      </c>
      <c r="BH373" t="str">
        <f t="shared" si="364"/>
        <v>しない</v>
      </c>
      <c r="BI373" t="str">
        <f>""</f>
        <v/>
      </c>
      <c r="BJ373" t="str">
        <f t="shared" si="362"/>
        <v>MASTER01</v>
      </c>
      <c r="BK373" t="str">
        <f t="shared" si="367"/>
        <v>2023/01/17</v>
      </c>
      <c r="BL373" t="str">
        <f t="shared" si="350"/>
        <v>NE00</v>
      </c>
      <c r="BM373" t="str">
        <f t="shared" si="351"/>
        <v>１工工務Ｇ</v>
      </c>
      <c r="BN373" t="str">
        <f t="shared" si="359"/>
        <v>46548</v>
      </c>
      <c r="BO373" t="str">
        <f t="shared" si="360"/>
        <v>長畑　玲奈</v>
      </c>
    </row>
    <row r="374" spans="1:67">
      <c r="A374" t="s">
        <v>456</v>
      </c>
      <c r="B374" t="str">
        <f>""</f>
        <v/>
      </c>
      <c r="C374" t="str">
        <f>""</f>
        <v/>
      </c>
      <c r="D374" t="str">
        <f t="shared" si="352"/>
        <v>SHIM</v>
      </c>
      <c r="E374" t="str">
        <f t="shared" si="340"/>
        <v>1Y</v>
      </c>
      <c r="F374" t="str">
        <f t="shared" si="341"/>
        <v>第１工場</v>
      </c>
      <c r="G374" t="str">
        <f t="shared" si="342"/>
        <v>手配</v>
      </c>
      <c r="H374" t="str">
        <f t="shared" si="343"/>
        <v>Ｐ</v>
      </c>
      <c r="I374" t="str">
        <f t="shared" si="328"/>
        <v>6454</v>
      </c>
      <c r="J374" t="str">
        <f t="shared" si="329"/>
        <v>（株）ムロコーポレーション</v>
      </c>
      <c r="K374" t="str">
        <f t="shared" si="326"/>
        <v>01</v>
      </c>
      <c r="L374" t="str">
        <f>""</f>
        <v/>
      </c>
      <c r="M374" t="str">
        <f t="shared" si="365"/>
        <v>――</v>
      </c>
      <c r="N374" t="str">
        <f t="shared" si="365"/>
        <v>――</v>
      </c>
      <c r="O374" t="str">
        <f t="shared" si="344"/>
        <v>Ｍ</v>
      </c>
      <c r="P374" t="str">
        <f t="shared" si="345"/>
        <v>01</v>
      </c>
      <c r="Q374" t="str">
        <f t="shared" si="346"/>
        <v>第１</v>
      </c>
      <c r="R374" t="str">
        <f t="shared" si="347"/>
        <v>1Y</v>
      </c>
      <c r="S374" t="str">
        <f t="shared" si="348"/>
        <v>安城第１工場</v>
      </c>
      <c r="T374" t="str">
        <f t="shared" si="349"/>
        <v>直接</v>
      </c>
      <c r="U374" t="str">
        <f>""</f>
        <v/>
      </c>
      <c r="V374" t="str">
        <f>""</f>
        <v/>
      </c>
      <c r="W374" t="str">
        <f>""</f>
        <v/>
      </c>
      <c r="X374">
        <v>1</v>
      </c>
      <c r="Y374">
        <v>1</v>
      </c>
      <c r="Z374">
        <v>0.73</v>
      </c>
      <c r="AA374">
        <v>0.93</v>
      </c>
      <c r="AB374">
        <v>3</v>
      </c>
      <c r="AC374">
        <v>0.93</v>
      </c>
      <c r="AD374">
        <v>0.93</v>
      </c>
      <c r="AE374">
        <v>1.1000000000000001</v>
      </c>
      <c r="AF374">
        <v>0.5</v>
      </c>
      <c r="AG374" t="str">
        <f t="shared" si="330"/>
        <v>205</v>
      </c>
      <c r="AH374" t="str">
        <f t="shared" si="331"/>
        <v>（株）ムロコーポレーション</v>
      </c>
      <c r="AI374" t="str">
        <f>"056"</f>
        <v>056</v>
      </c>
      <c r="AJ374" t="str">
        <f>""</f>
        <v/>
      </c>
      <c r="AK374" t="str">
        <f>""</f>
        <v/>
      </c>
      <c r="AL374" t="str">
        <f t="shared" si="353"/>
        <v>0370</v>
      </c>
      <c r="AM374" t="str">
        <f t="shared" si="354"/>
        <v>ｼﾑ</v>
      </c>
      <c r="AN374" t="str">
        <f t="shared" si="332"/>
        <v>012</v>
      </c>
      <c r="AO374" t="str">
        <f t="shared" si="333"/>
        <v>TP-131 ﾊﾝﾖｳ</v>
      </c>
      <c r="AP374">
        <v>100</v>
      </c>
      <c r="AQ374" t="str">
        <f>""</f>
        <v/>
      </c>
      <c r="AR374" t="str">
        <f>""</f>
        <v/>
      </c>
      <c r="AS374" t="str">
        <f>""</f>
        <v/>
      </c>
      <c r="AT374" t="str">
        <f t="shared" si="334"/>
        <v>00</v>
      </c>
      <c r="AU374">
        <v>0.5</v>
      </c>
      <c r="AV374" t="str">
        <f>""</f>
        <v/>
      </c>
      <c r="AW374" t="str">
        <f t="shared" si="355"/>
        <v>06</v>
      </c>
      <c r="AX374" t="str">
        <f t="shared" si="356"/>
        <v>計画</v>
      </c>
      <c r="AY374" t="str">
        <f t="shared" si="357"/>
        <v>02</v>
      </c>
      <c r="AZ374" t="str">
        <f t="shared" si="358"/>
        <v>計画・２社</v>
      </c>
      <c r="BA374" t="str">
        <f>""</f>
        <v/>
      </c>
      <c r="BB374" t="str">
        <f t="shared" si="335"/>
        <v>ＴＰ１３１フタナシ</v>
      </c>
      <c r="BC374" t="str">
        <f t="shared" si="336"/>
        <v xml:space="preserve"> 335.000</v>
      </c>
      <c r="BD374" t="str">
        <f t="shared" si="337"/>
        <v xml:space="preserve"> 168.000</v>
      </c>
      <c r="BE374" t="str">
        <f t="shared" si="338"/>
        <v xml:space="preserve"> 103.000</v>
      </c>
      <c r="BF374" t="str">
        <f t="shared" si="339"/>
        <v xml:space="preserve">   0.006</v>
      </c>
      <c r="BG374" t="str">
        <f t="shared" si="366"/>
        <v xml:space="preserve">   3.530</v>
      </c>
      <c r="BH374" t="str">
        <f t="shared" si="364"/>
        <v>しない</v>
      </c>
      <c r="BI374" t="str">
        <f>""</f>
        <v/>
      </c>
      <c r="BJ374" t="str">
        <f t="shared" si="362"/>
        <v>MASTER01</v>
      </c>
      <c r="BK374" t="str">
        <f t="shared" si="367"/>
        <v>2023/01/17</v>
      </c>
      <c r="BL374" t="str">
        <f t="shared" si="350"/>
        <v>NE00</v>
      </c>
      <c r="BM374" t="str">
        <f t="shared" si="351"/>
        <v>１工工務Ｇ</v>
      </c>
      <c r="BN374" t="str">
        <f t="shared" si="359"/>
        <v>46548</v>
      </c>
      <c r="BO374" t="str">
        <f t="shared" si="360"/>
        <v>長畑　玲奈</v>
      </c>
    </row>
    <row r="375" spans="1:67">
      <c r="A375" t="s">
        <v>457</v>
      </c>
      <c r="B375" t="str">
        <f>""</f>
        <v/>
      </c>
      <c r="C375" t="str">
        <f>""</f>
        <v/>
      </c>
      <c r="D375" t="str">
        <f t="shared" si="352"/>
        <v>SHIM</v>
      </c>
      <c r="E375" t="str">
        <f t="shared" si="340"/>
        <v>1Y</v>
      </c>
      <c r="F375" t="str">
        <f t="shared" si="341"/>
        <v>第１工場</v>
      </c>
      <c r="G375" t="str">
        <f t="shared" si="342"/>
        <v>手配</v>
      </c>
      <c r="H375" t="str">
        <f t="shared" si="343"/>
        <v>Ｐ</v>
      </c>
      <c r="I375" t="str">
        <f t="shared" si="328"/>
        <v>6454</v>
      </c>
      <c r="J375" t="str">
        <f t="shared" si="329"/>
        <v>（株）ムロコーポレーション</v>
      </c>
      <c r="K375" t="str">
        <f t="shared" si="326"/>
        <v>01</v>
      </c>
      <c r="L375" t="str">
        <f>""</f>
        <v/>
      </c>
      <c r="M375" t="str">
        <f t="shared" si="365"/>
        <v>――</v>
      </c>
      <c r="N375" t="str">
        <f t="shared" si="365"/>
        <v>――</v>
      </c>
      <c r="O375" t="str">
        <f t="shared" si="344"/>
        <v>Ｍ</v>
      </c>
      <c r="P375" t="str">
        <f t="shared" si="345"/>
        <v>01</v>
      </c>
      <c r="Q375" t="str">
        <f t="shared" si="346"/>
        <v>第１</v>
      </c>
      <c r="R375" t="str">
        <f t="shared" si="347"/>
        <v>1Y</v>
      </c>
      <c r="S375" t="str">
        <f t="shared" si="348"/>
        <v>安城第１工場</v>
      </c>
      <c r="T375" t="str">
        <f t="shared" si="349"/>
        <v>直接</v>
      </c>
      <c r="U375" t="str">
        <f>""</f>
        <v/>
      </c>
      <c r="V375" t="str">
        <f>""</f>
        <v/>
      </c>
      <c r="W375" t="str">
        <f>""</f>
        <v/>
      </c>
      <c r="X375">
        <v>1</v>
      </c>
      <c r="Y375">
        <v>1</v>
      </c>
      <c r="Z375">
        <v>0.73</v>
      </c>
      <c r="AA375">
        <v>0.93</v>
      </c>
      <c r="AB375">
        <v>3</v>
      </c>
      <c r="AC375">
        <v>0.93</v>
      </c>
      <c r="AD375">
        <v>0.93</v>
      </c>
      <c r="AE375">
        <v>1.1000000000000001</v>
      </c>
      <c r="AF375">
        <v>0.5</v>
      </c>
      <c r="AG375" t="str">
        <f t="shared" si="330"/>
        <v>205</v>
      </c>
      <c r="AH375" t="str">
        <f t="shared" si="331"/>
        <v>（株）ムロコーポレーション</v>
      </c>
      <c r="AI375" t="str">
        <f>"057"</f>
        <v>057</v>
      </c>
      <c r="AJ375" t="str">
        <f>""</f>
        <v/>
      </c>
      <c r="AK375" t="str">
        <f>""</f>
        <v/>
      </c>
      <c r="AL375" t="str">
        <f t="shared" si="353"/>
        <v>0370</v>
      </c>
      <c r="AM375" t="str">
        <f t="shared" si="354"/>
        <v>ｼﾑ</v>
      </c>
      <c r="AN375" t="str">
        <f t="shared" si="332"/>
        <v>012</v>
      </c>
      <c r="AO375" t="str">
        <f t="shared" si="333"/>
        <v>TP-131 ﾊﾝﾖｳ</v>
      </c>
      <c r="AP375">
        <v>100</v>
      </c>
      <c r="AQ375" t="str">
        <f>""</f>
        <v/>
      </c>
      <c r="AR375" t="str">
        <f>""</f>
        <v/>
      </c>
      <c r="AS375" t="str">
        <f>""</f>
        <v/>
      </c>
      <c r="AT375" t="str">
        <f t="shared" si="334"/>
        <v>00</v>
      </c>
      <c r="AU375">
        <v>0.5</v>
      </c>
      <c r="AV375" t="str">
        <f>""</f>
        <v/>
      </c>
      <c r="AW375" t="str">
        <f t="shared" si="355"/>
        <v>06</v>
      </c>
      <c r="AX375" t="str">
        <f t="shared" si="356"/>
        <v>計画</v>
      </c>
      <c r="AY375" t="str">
        <f t="shared" si="357"/>
        <v>02</v>
      </c>
      <c r="AZ375" t="str">
        <f t="shared" si="358"/>
        <v>計画・２社</v>
      </c>
      <c r="BA375" t="str">
        <f>""</f>
        <v/>
      </c>
      <c r="BB375" t="str">
        <f t="shared" si="335"/>
        <v>ＴＰ１３１フタナシ</v>
      </c>
      <c r="BC375" t="str">
        <f t="shared" si="336"/>
        <v xml:space="preserve"> 335.000</v>
      </c>
      <c r="BD375" t="str">
        <f t="shared" si="337"/>
        <v xml:space="preserve"> 168.000</v>
      </c>
      <c r="BE375" t="str">
        <f t="shared" si="338"/>
        <v xml:space="preserve"> 103.000</v>
      </c>
      <c r="BF375" t="str">
        <f t="shared" si="339"/>
        <v xml:space="preserve">   0.006</v>
      </c>
      <c r="BG375" t="str">
        <f t="shared" si="366"/>
        <v xml:space="preserve">   3.530</v>
      </c>
      <c r="BH375" t="str">
        <f t="shared" si="364"/>
        <v>しない</v>
      </c>
      <c r="BI375" t="str">
        <f>""</f>
        <v/>
      </c>
      <c r="BJ375" t="str">
        <f t="shared" si="362"/>
        <v>MASTER01</v>
      </c>
      <c r="BK375" t="str">
        <f t="shared" si="367"/>
        <v>2023/01/17</v>
      </c>
      <c r="BL375" t="str">
        <f t="shared" si="350"/>
        <v>NE00</v>
      </c>
      <c r="BM375" t="str">
        <f t="shared" si="351"/>
        <v>１工工務Ｇ</v>
      </c>
      <c r="BN375" t="str">
        <f t="shared" si="359"/>
        <v>46548</v>
      </c>
      <c r="BO375" t="str">
        <f t="shared" si="360"/>
        <v>長畑　玲奈</v>
      </c>
    </row>
    <row r="376" spans="1:67">
      <c r="A376" t="s">
        <v>458</v>
      </c>
      <c r="B376" t="str">
        <f>""</f>
        <v/>
      </c>
      <c r="C376" t="str">
        <f>""</f>
        <v/>
      </c>
      <c r="D376" t="str">
        <f t="shared" si="352"/>
        <v>SHIM</v>
      </c>
      <c r="E376" t="str">
        <f t="shared" si="340"/>
        <v>1Y</v>
      </c>
      <c r="F376" t="str">
        <f t="shared" si="341"/>
        <v>第１工場</v>
      </c>
      <c r="G376" t="str">
        <f t="shared" si="342"/>
        <v>手配</v>
      </c>
      <c r="H376" t="str">
        <f t="shared" si="343"/>
        <v>Ｐ</v>
      </c>
      <c r="I376" t="str">
        <f t="shared" si="328"/>
        <v>6454</v>
      </c>
      <c r="J376" t="str">
        <f t="shared" si="329"/>
        <v>（株）ムロコーポレーション</v>
      </c>
      <c r="K376" t="str">
        <f t="shared" si="326"/>
        <v>01</v>
      </c>
      <c r="L376" t="str">
        <f>""</f>
        <v/>
      </c>
      <c r="M376" t="str">
        <f t="shared" si="365"/>
        <v>――</v>
      </c>
      <c r="N376" t="str">
        <f t="shared" si="365"/>
        <v>――</v>
      </c>
      <c r="O376" t="str">
        <f t="shared" si="344"/>
        <v>Ｍ</v>
      </c>
      <c r="P376" t="str">
        <f t="shared" si="345"/>
        <v>01</v>
      </c>
      <c r="Q376" t="str">
        <f t="shared" si="346"/>
        <v>第１</v>
      </c>
      <c r="R376" t="str">
        <f t="shared" si="347"/>
        <v>1Y</v>
      </c>
      <c r="S376" t="str">
        <f t="shared" si="348"/>
        <v>安城第１工場</v>
      </c>
      <c r="T376" t="str">
        <f t="shared" si="349"/>
        <v>直接</v>
      </c>
      <c r="U376" t="str">
        <f>""</f>
        <v/>
      </c>
      <c r="V376" t="str">
        <f>""</f>
        <v/>
      </c>
      <c r="W376" t="str">
        <f>""</f>
        <v/>
      </c>
      <c r="X376">
        <v>1</v>
      </c>
      <c r="Y376">
        <v>1</v>
      </c>
      <c r="Z376">
        <v>0.73</v>
      </c>
      <c r="AA376">
        <v>0.93</v>
      </c>
      <c r="AB376">
        <v>3</v>
      </c>
      <c r="AC376">
        <v>0.93</v>
      </c>
      <c r="AD376">
        <v>0.93</v>
      </c>
      <c r="AE376">
        <v>1.1000000000000001</v>
      </c>
      <c r="AF376">
        <v>0.5</v>
      </c>
      <c r="AG376" t="str">
        <f t="shared" si="330"/>
        <v>205</v>
      </c>
      <c r="AH376" t="str">
        <f t="shared" si="331"/>
        <v>（株）ムロコーポレーション</v>
      </c>
      <c r="AI376" t="str">
        <f>"058"</f>
        <v>058</v>
      </c>
      <c r="AJ376" t="str">
        <f>""</f>
        <v/>
      </c>
      <c r="AK376" t="str">
        <f>""</f>
        <v/>
      </c>
      <c r="AL376" t="str">
        <f t="shared" si="353"/>
        <v>0370</v>
      </c>
      <c r="AM376" t="str">
        <f t="shared" si="354"/>
        <v>ｼﾑ</v>
      </c>
      <c r="AN376" t="str">
        <f t="shared" si="332"/>
        <v>012</v>
      </c>
      <c r="AO376" t="str">
        <f t="shared" si="333"/>
        <v>TP-131 ﾊﾝﾖｳ</v>
      </c>
      <c r="AP376">
        <v>100</v>
      </c>
      <c r="AQ376" t="str">
        <f>""</f>
        <v/>
      </c>
      <c r="AR376" t="str">
        <f>""</f>
        <v/>
      </c>
      <c r="AS376" t="str">
        <f>""</f>
        <v/>
      </c>
      <c r="AT376" t="str">
        <f t="shared" si="334"/>
        <v>00</v>
      </c>
      <c r="AU376">
        <v>0.5</v>
      </c>
      <c r="AV376" t="str">
        <f>""</f>
        <v/>
      </c>
      <c r="AW376" t="str">
        <f t="shared" si="355"/>
        <v>06</v>
      </c>
      <c r="AX376" t="str">
        <f t="shared" si="356"/>
        <v>計画</v>
      </c>
      <c r="AY376" t="str">
        <f t="shared" si="357"/>
        <v>02</v>
      </c>
      <c r="AZ376" t="str">
        <f t="shared" si="358"/>
        <v>計画・２社</v>
      </c>
      <c r="BA376" t="str">
        <f>""</f>
        <v/>
      </c>
      <c r="BB376" t="str">
        <f t="shared" si="335"/>
        <v>ＴＰ１３１フタナシ</v>
      </c>
      <c r="BC376" t="str">
        <f t="shared" si="336"/>
        <v xml:space="preserve"> 335.000</v>
      </c>
      <c r="BD376" t="str">
        <f t="shared" si="337"/>
        <v xml:space="preserve"> 168.000</v>
      </c>
      <c r="BE376" t="str">
        <f t="shared" si="338"/>
        <v xml:space="preserve"> 103.000</v>
      </c>
      <c r="BF376" t="str">
        <f t="shared" si="339"/>
        <v xml:space="preserve">   0.006</v>
      </c>
      <c r="BG376" t="str">
        <f t="shared" si="366"/>
        <v xml:space="preserve">   3.530</v>
      </c>
      <c r="BH376" t="str">
        <f t="shared" si="364"/>
        <v>しない</v>
      </c>
      <c r="BI376" t="str">
        <f>""</f>
        <v/>
      </c>
      <c r="BJ376" t="str">
        <f t="shared" si="362"/>
        <v>MASTER01</v>
      </c>
      <c r="BK376" t="str">
        <f t="shared" si="367"/>
        <v>2023/01/17</v>
      </c>
      <c r="BL376" t="str">
        <f t="shared" si="350"/>
        <v>NE00</v>
      </c>
      <c r="BM376" t="str">
        <f t="shared" si="351"/>
        <v>１工工務Ｇ</v>
      </c>
      <c r="BN376" t="str">
        <f t="shared" si="359"/>
        <v>46548</v>
      </c>
      <c r="BO376" t="str">
        <f t="shared" si="360"/>
        <v>長畑　玲奈</v>
      </c>
    </row>
    <row r="377" spans="1:67">
      <c r="A377" t="s">
        <v>459</v>
      </c>
      <c r="B377" t="str">
        <f>""</f>
        <v/>
      </c>
      <c r="C377" t="str">
        <f>""</f>
        <v/>
      </c>
      <c r="D377" t="str">
        <f t="shared" si="352"/>
        <v>SHIM</v>
      </c>
      <c r="E377" t="str">
        <f t="shared" si="340"/>
        <v>1Y</v>
      </c>
      <c r="F377" t="str">
        <f t="shared" si="341"/>
        <v>第１工場</v>
      </c>
      <c r="G377" t="str">
        <f t="shared" si="342"/>
        <v>手配</v>
      </c>
      <c r="H377" t="str">
        <f t="shared" si="343"/>
        <v>Ｐ</v>
      </c>
      <c r="I377" t="str">
        <f t="shared" si="328"/>
        <v>6454</v>
      </c>
      <c r="J377" t="str">
        <f t="shared" si="329"/>
        <v>（株）ムロコーポレーション</v>
      </c>
      <c r="K377" t="str">
        <f t="shared" si="326"/>
        <v>01</v>
      </c>
      <c r="L377" t="str">
        <f>""</f>
        <v/>
      </c>
      <c r="M377" t="str">
        <f t="shared" si="365"/>
        <v>――</v>
      </c>
      <c r="N377" t="str">
        <f t="shared" si="365"/>
        <v>――</v>
      </c>
      <c r="O377" t="str">
        <f t="shared" si="344"/>
        <v>Ｍ</v>
      </c>
      <c r="P377" t="str">
        <f t="shared" si="345"/>
        <v>01</v>
      </c>
      <c r="Q377" t="str">
        <f t="shared" si="346"/>
        <v>第１</v>
      </c>
      <c r="R377" t="str">
        <f t="shared" si="347"/>
        <v>1Y</v>
      </c>
      <c r="S377" t="str">
        <f t="shared" si="348"/>
        <v>安城第１工場</v>
      </c>
      <c r="T377" t="str">
        <f t="shared" si="349"/>
        <v>直接</v>
      </c>
      <c r="U377" t="str">
        <f>""</f>
        <v/>
      </c>
      <c r="V377" t="str">
        <f>""</f>
        <v/>
      </c>
      <c r="W377" t="str">
        <f>""</f>
        <v/>
      </c>
      <c r="X377">
        <v>1</v>
      </c>
      <c r="Y377">
        <v>1</v>
      </c>
      <c r="Z377">
        <v>0.73</v>
      </c>
      <c r="AA377">
        <v>0.93</v>
      </c>
      <c r="AB377">
        <v>3</v>
      </c>
      <c r="AC377">
        <v>0.93</v>
      </c>
      <c r="AD377">
        <v>0.93</v>
      </c>
      <c r="AE377">
        <v>1.1000000000000001</v>
      </c>
      <c r="AF377">
        <v>0.5</v>
      </c>
      <c r="AG377" t="str">
        <f t="shared" si="330"/>
        <v>205</v>
      </c>
      <c r="AH377" t="str">
        <f t="shared" si="331"/>
        <v>（株）ムロコーポレーション</v>
      </c>
      <c r="AI377" t="str">
        <f>"059"</f>
        <v>059</v>
      </c>
      <c r="AJ377" t="str">
        <f>""</f>
        <v/>
      </c>
      <c r="AK377" t="str">
        <f>""</f>
        <v/>
      </c>
      <c r="AL377" t="str">
        <f t="shared" si="353"/>
        <v>0370</v>
      </c>
      <c r="AM377" t="str">
        <f t="shared" si="354"/>
        <v>ｼﾑ</v>
      </c>
      <c r="AN377" t="str">
        <f t="shared" si="332"/>
        <v>012</v>
      </c>
      <c r="AO377" t="str">
        <f t="shared" si="333"/>
        <v>TP-131 ﾊﾝﾖｳ</v>
      </c>
      <c r="AP377">
        <v>100</v>
      </c>
      <c r="AQ377" t="str">
        <f>""</f>
        <v/>
      </c>
      <c r="AR377" t="str">
        <f>""</f>
        <v/>
      </c>
      <c r="AS377" t="str">
        <f>""</f>
        <v/>
      </c>
      <c r="AT377" t="str">
        <f t="shared" si="334"/>
        <v>00</v>
      </c>
      <c r="AU377">
        <v>0.5</v>
      </c>
      <c r="AV377" t="str">
        <f>""</f>
        <v/>
      </c>
      <c r="AW377" t="str">
        <f t="shared" si="355"/>
        <v>06</v>
      </c>
      <c r="AX377" t="str">
        <f t="shared" si="356"/>
        <v>計画</v>
      </c>
      <c r="AY377" t="str">
        <f t="shared" si="357"/>
        <v>02</v>
      </c>
      <c r="AZ377" t="str">
        <f t="shared" si="358"/>
        <v>計画・２社</v>
      </c>
      <c r="BA377" t="str">
        <f>""</f>
        <v/>
      </c>
      <c r="BB377" t="str">
        <f t="shared" si="335"/>
        <v>ＴＰ１３１フタナシ</v>
      </c>
      <c r="BC377" t="str">
        <f t="shared" si="336"/>
        <v xml:space="preserve"> 335.000</v>
      </c>
      <c r="BD377" t="str">
        <f t="shared" si="337"/>
        <v xml:space="preserve"> 168.000</v>
      </c>
      <c r="BE377" t="str">
        <f t="shared" si="338"/>
        <v xml:space="preserve"> 103.000</v>
      </c>
      <c r="BF377" t="str">
        <f t="shared" si="339"/>
        <v xml:space="preserve">   0.006</v>
      </c>
      <c r="BG377" t="str">
        <f t="shared" si="366"/>
        <v xml:space="preserve">   3.530</v>
      </c>
      <c r="BH377" t="str">
        <f t="shared" si="364"/>
        <v>しない</v>
      </c>
      <c r="BI377" t="str">
        <f>""</f>
        <v/>
      </c>
      <c r="BJ377" t="str">
        <f t="shared" si="362"/>
        <v>MASTER01</v>
      </c>
      <c r="BK377" t="str">
        <f t="shared" si="367"/>
        <v>2023/01/17</v>
      </c>
      <c r="BL377" t="str">
        <f t="shared" si="350"/>
        <v>NE00</v>
      </c>
      <c r="BM377" t="str">
        <f t="shared" si="351"/>
        <v>１工工務Ｇ</v>
      </c>
      <c r="BN377" t="str">
        <f t="shared" si="359"/>
        <v>46548</v>
      </c>
      <c r="BO377" t="str">
        <f t="shared" si="360"/>
        <v>長畑　玲奈</v>
      </c>
    </row>
    <row r="378" spans="1:67">
      <c r="A378" t="s">
        <v>460</v>
      </c>
      <c r="B378" t="str">
        <f>""</f>
        <v/>
      </c>
      <c r="C378" t="str">
        <f>""</f>
        <v/>
      </c>
      <c r="D378" t="str">
        <f t="shared" si="352"/>
        <v>SHIM</v>
      </c>
      <c r="E378" t="str">
        <f t="shared" si="340"/>
        <v>1Y</v>
      </c>
      <c r="F378" t="str">
        <f t="shared" si="341"/>
        <v>第１工場</v>
      </c>
      <c r="G378" t="str">
        <f t="shared" si="342"/>
        <v>手配</v>
      </c>
      <c r="H378" t="str">
        <f t="shared" si="343"/>
        <v>Ｐ</v>
      </c>
      <c r="I378" t="str">
        <f t="shared" si="328"/>
        <v>6454</v>
      </c>
      <c r="J378" t="str">
        <f t="shared" si="329"/>
        <v>（株）ムロコーポレーション</v>
      </c>
      <c r="K378" t="str">
        <f t="shared" si="326"/>
        <v>01</v>
      </c>
      <c r="L378" t="str">
        <f>""</f>
        <v/>
      </c>
      <c r="M378" t="str">
        <f t="shared" si="365"/>
        <v>――</v>
      </c>
      <c r="N378" t="str">
        <f t="shared" si="365"/>
        <v>――</v>
      </c>
      <c r="O378" t="str">
        <f t="shared" si="344"/>
        <v>Ｍ</v>
      </c>
      <c r="P378" t="str">
        <f t="shared" si="345"/>
        <v>01</v>
      </c>
      <c r="Q378" t="str">
        <f t="shared" si="346"/>
        <v>第１</v>
      </c>
      <c r="R378" t="str">
        <f t="shared" si="347"/>
        <v>1Y</v>
      </c>
      <c r="S378" t="str">
        <f t="shared" si="348"/>
        <v>安城第１工場</v>
      </c>
      <c r="T378" t="str">
        <f t="shared" si="349"/>
        <v>直接</v>
      </c>
      <c r="U378" t="str">
        <f>""</f>
        <v/>
      </c>
      <c r="V378" t="str">
        <f>""</f>
        <v/>
      </c>
      <c r="W378" t="str">
        <f>""</f>
        <v/>
      </c>
      <c r="X378">
        <v>1</v>
      </c>
      <c r="Y378">
        <v>1</v>
      </c>
      <c r="Z378">
        <v>0.73</v>
      </c>
      <c r="AA378">
        <v>0.93</v>
      </c>
      <c r="AB378">
        <v>3</v>
      </c>
      <c r="AC378">
        <v>0.93</v>
      </c>
      <c r="AD378">
        <v>0.93</v>
      </c>
      <c r="AE378">
        <v>1.1000000000000001</v>
      </c>
      <c r="AF378">
        <v>0.5</v>
      </c>
      <c r="AG378" t="str">
        <f t="shared" si="330"/>
        <v>205</v>
      </c>
      <c r="AH378" t="str">
        <f t="shared" si="331"/>
        <v>（株）ムロコーポレーション</v>
      </c>
      <c r="AI378" t="str">
        <f>"060"</f>
        <v>060</v>
      </c>
      <c r="AJ378" t="str">
        <f>""</f>
        <v/>
      </c>
      <c r="AK378" t="str">
        <f>""</f>
        <v/>
      </c>
      <c r="AL378" t="str">
        <f t="shared" si="353"/>
        <v>0370</v>
      </c>
      <c r="AM378" t="str">
        <f t="shared" si="354"/>
        <v>ｼﾑ</v>
      </c>
      <c r="AN378" t="str">
        <f t="shared" si="332"/>
        <v>012</v>
      </c>
      <c r="AO378" t="str">
        <f t="shared" si="333"/>
        <v>TP-131 ﾊﾝﾖｳ</v>
      </c>
      <c r="AP378">
        <v>100</v>
      </c>
      <c r="AQ378" t="str">
        <f>""</f>
        <v/>
      </c>
      <c r="AR378" t="str">
        <f>""</f>
        <v/>
      </c>
      <c r="AS378" t="str">
        <f>""</f>
        <v/>
      </c>
      <c r="AT378" t="str">
        <f t="shared" si="334"/>
        <v>00</v>
      </c>
      <c r="AU378">
        <v>0.5</v>
      </c>
      <c r="AV378" t="str">
        <f>""</f>
        <v/>
      </c>
      <c r="AW378" t="str">
        <f t="shared" si="355"/>
        <v>06</v>
      </c>
      <c r="AX378" t="str">
        <f t="shared" si="356"/>
        <v>計画</v>
      </c>
      <c r="AY378" t="str">
        <f t="shared" si="357"/>
        <v>02</v>
      </c>
      <c r="AZ378" t="str">
        <f t="shared" si="358"/>
        <v>計画・２社</v>
      </c>
      <c r="BA378" t="str">
        <f>""</f>
        <v/>
      </c>
      <c r="BB378" t="str">
        <f t="shared" si="335"/>
        <v>ＴＰ１３１フタナシ</v>
      </c>
      <c r="BC378" t="str">
        <f t="shared" si="336"/>
        <v xml:space="preserve"> 335.000</v>
      </c>
      <c r="BD378" t="str">
        <f t="shared" si="337"/>
        <v xml:space="preserve"> 168.000</v>
      </c>
      <c r="BE378" t="str">
        <f t="shared" si="338"/>
        <v xml:space="preserve"> 103.000</v>
      </c>
      <c r="BF378" t="str">
        <f t="shared" si="339"/>
        <v xml:space="preserve">   0.006</v>
      </c>
      <c r="BG378" t="str">
        <f t="shared" si="366"/>
        <v xml:space="preserve">   3.530</v>
      </c>
      <c r="BH378" t="str">
        <f t="shared" si="364"/>
        <v>しない</v>
      </c>
      <c r="BI378" t="str">
        <f>""</f>
        <v/>
      </c>
      <c r="BJ378" t="str">
        <f t="shared" si="362"/>
        <v>MASTER01</v>
      </c>
      <c r="BK378" t="str">
        <f t="shared" si="367"/>
        <v>2023/01/17</v>
      </c>
      <c r="BL378" t="str">
        <f t="shared" si="350"/>
        <v>NE00</v>
      </c>
      <c r="BM378" t="str">
        <f t="shared" si="351"/>
        <v>１工工務Ｇ</v>
      </c>
      <c r="BN378" t="str">
        <f t="shared" si="359"/>
        <v>46548</v>
      </c>
      <c r="BO378" t="str">
        <f t="shared" si="360"/>
        <v>長畑　玲奈</v>
      </c>
    </row>
    <row r="379" spans="1:67">
      <c r="A379" t="s">
        <v>461</v>
      </c>
      <c r="B379" t="str">
        <f>""</f>
        <v/>
      </c>
      <c r="C379" t="str">
        <f>""</f>
        <v/>
      </c>
      <c r="D379" t="str">
        <f t="shared" si="352"/>
        <v>SHIM</v>
      </c>
      <c r="E379" t="str">
        <f t="shared" si="340"/>
        <v>1Y</v>
      </c>
      <c r="F379" t="str">
        <f t="shared" si="341"/>
        <v>第１工場</v>
      </c>
      <c r="G379" t="str">
        <f t="shared" si="342"/>
        <v>手配</v>
      </c>
      <c r="H379" t="str">
        <f t="shared" si="343"/>
        <v>Ｐ</v>
      </c>
      <c r="I379" t="str">
        <f t="shared" si="328"/>
        <v>6454</v>
      </c>
      <c r="J379" t="str">
        <f t="shared" si="329"/>
        <v>（株）ムロコーポレーション</v>
      </c>
      <c r="K379" t="str">
        <f t="shared" si="326"/>
        <v>01</v>
      </c>
      <c r="L379" t="str">
        <f>""</f>
        <v/>
      </c>
      <c r="M379" t="str">
        <f t="shared" si="365"/>
        <v>――</v>
      </c>
      <c r="N379" t="str">
        <f t="shared" si="365"/>
        <v>――</v>
      </c>
      <c r="O379" t="str">
        <f t="shared" si="344"/>
        <v>Ｍ</v>
      </c>
      <c r="P379" t="str">
        <f t="shared" si="345"/>
        <v>01</v>
      </c>
      <c r="Q379" t="str">
        <f t="shared" si="346"/>
        <v>第１</v>
      </c>
      <c r="R379" t="str">
        <f t="shared" si="347"/>
        <v>1Y</v>
      </c>
      <c r="S379" t="str">
        <f t="shared" si="348"/>
        <v>安城第１工場</v>
      </c>
      <c r="T379" t="str">
        <f t="shared" si="349"/>
        <v>直接</v>
      </c>
      <c r="U379" t="str">
        <f>""</f>
        <v/>
      </c>
      <c r="V379" t="str">
        <f>""</f>
        <v/>
      </c>
      <c r="W379" t="str">
        <f>""</f>
        <v/>
      </c>
      <c r="X379">
        <v>1</v>
      </c>
      <c r="Y379">
        <v>1</v>
      </c>
      <c r="Z379">
        <v>0.73</v>
      </c>
      <c r="AA379">
        <v>0.93</v>
      </c>
      <c r="AB379">
        <v>3</v>
      </c>
      <c r="AC379">
        <v>0.93</v>
      </c>
      <c r="AD379">
        <v>0.93</v>
      </c>
      <c r="AE379">
        <v>1.1000000000000001</v>
      </c>
      <c r="AF379">
        <v>0.5</v>
      </c>
      <c r="AG379" t="str">
        <f t="shared" si="330"/>
        <v>205</v>
      </c>
      <c r="AH379" t="str">
        <f t="shared" si="331"/>
        <v>（株）ムロコーポレーション</v>
      </c>
      <c r="AI379" t="str">
        <f>"061"</f>
        <v>061</v>
      </c>
      <c r="AJ379" t="str">
        <f>""</f>
        <v/>
      </c>
      <c r="AK379" t="str">
        <f>""</f>
        <v/>
      </c>
      <c r="AL379" t="str">
        <f t="shared" si="353"/>
        <v>0370</v>
      </c>
      <c r="AM379" t="str">
        <f t="shared" si="354"/>
        <v>ｼﾑ</v>
      </c>
      <c r="AN379" t="str">
        <f t="shared" si="332"/>
        <v>012</v>
      </c>
      <c r="AO379" t="str">
        <f t="shared" si="333"/>
        <v>TP-131 ﾊﾝﾖｳ</v>
      </c>
      <c r="AP379">
        <v>100</v>
      </c>
      <c r="AQ379" t="str">
        <f>""</f>
        <v/>
      </c>
      <c r="AR379" t="str">
        <f>""</f>
        <v/>
      </c>
      <c r="AS379" t="str">
        <f>""</f>
        <v/>
      </c>
      <c r="AT379" t="str">
        <f t="shared" si="334"/>
        <v>00</v>
      </c>
      <c r="AU379">
        <v>0.5</v>
      </c>
      <c r="AV379" t="str">
        <f>""</f>
        <v/>
      </c>
      <c r="AW379" t="str">
        <f t="shared" si="355"/>
        <v>06</v>
      </c>
      <c r="AX379" t="str">
        <f t="shared" si="356"/>
        <v>計画</v>
      </c>
      <c r="AY379" t="str">
        <f t="shared" si="357"/>
        <v>02</v>
      </c>
      <c r="AZ379" t="str">
        <f t="shared" si="358"/>
        <v>計画・２社</v>
      </c>
      <c r="BA379" t="str">
        <f>""</f>
        <v/>
      </c>
      <c r="BB379" t="str">
        <f t="shared" si="335"/>
        <v>ＴＰ１３１フタナシ</v>
      </c>
      <c r="BC379" t="str">
        <f t="shared" si="336"/>
        <v xml:space="preserve"> 335.000</v>
      </c>
      <c r="BD379" t="str">
        <f t="shared" si="337"/>
        <v xml:space="preserve"> 168.000</v>
      </c>
      <c r="BE379" t="str">
        <f t="shared" si="338"/>
        <v xml:space="preserve"> 103.000</v>
      </c>
      <c r="BF379" t="str">
        <f t="shared" si="339"/>
        <v xml:space="preserve">   0.006</v>
      </c>
      <c r="BG379" t="str">
        <f t="shared" si="366"/>
        <v xml:space="preserve">   3.530</v>
      </c>
      <c r="BH379" t="str">
        <f t="shared" si="364"/>
        <v>しない</v>
      </c>
      <c r="BI379" t="str">
        <f>""</f>
        <v/>
      </c>
      <c r="BJ379" t="str">
        <f t="shared" si="362"/>
        <v>MASTER01</v>
      </c>
      <c r="BK379" t="str">
        <f t="shared" si="367"/>
        <v>2023/01/17</v>
      </c>
      <c r="BL379" t="str">
        <f t="shared" si="350"/>
        <v>NE00</v>
      </c>
      <c r="BM379" t="str">
        <f t="shared" si="351"/>
        <v>１工工務Ｇ</v>
      </c>
      <c r="BN379" t="str">
        <f t="shared" si="359"/>
        <v>46548</v>
      </c>
      <c r="BO379" t="str">
        <f t="shared" si="360"/>
        <v>長畑　玲奈</v>
      </c>
    </row>
    <row r="380" spans="1:67">
      <c r="A380" t="s">
        <v>462</v>
      </c>
      <c r="B380" t="str">
        <f>""</f>
        <v/>
      </c>
      <c r="C380" t="str">
        <f>""</f>
        <v/>
      </c>
      <c r="D380" t="str">
        <f t="shared" si="352"/>
        <v>SHIM</v>
      </c>
      <c r="E380" t="str">
        <f t="shared" si="340"/>
        <v>1Y</v>
      </c>
      <c r="F380" t="str">
        <f t="shared" si="341"/>
        <v>第１工場</v>
      </c>
      <c r="G380" t="str">
        <f t="shared" si="342"/>
        <v>手配</v>
      </c>
      <c r="H380" t="str">
        <f t="shared" si="343"/>
        <v>Ｐ</v>
      </c>
      <c r="I380" t="str">
        <f t="shared" si="328"/>
        <v>6454</v>
      </c>
      <c r="J380" t="str">
        <f t="shared" si="329"/>
        <v>（株）ムロコーポレーション</v>
      </c>
      <c r="K380" t="str">
        <f t="shared" ref="K380:K443" si="368">"01"</f>
        <v>01</v>
      </c>
      <c r="L380" t="str">
        <f>""</f>
        <v/>
      </c>
      <c r="M380" t="str">
        <f t="shared" si="365"/>
        <v>――</v>
      </c>
      <c r="N380" t="str">
        <f t="shared" si="365"/>
        <v>――</v>
      </c>
      <c r="O380" t="str">
        <f t="shared" si="344"/>
        <v>Ｍ</v>
      </c>
      <c r="P380" t="str">
        <f t="shared" si="345"/>
        <v>01</v>
      </c>
      <c r="Q380" t="str">
        <f t="shared" si="346"/>
        <v>第１</v>
      </c>
      <c r="R380" t="str">
        <f t="shared" si="347"/>
        <v>1Y</v>
      </c>
      <c r="S380" t="str">
        <f t="shared" si="348"/>
        <v>安城第１工場</v>
      </c>
      <c r="T380" t="str">
        <f t="shared" si="349"/>
        <v>直接</v>
      </c>
      <c r="U380" t="str">
        <f>""</f>
        <v/>
      </c>
      <c r="V380" t="str">
        <f>""</f>
        <v/>
      </c>
      <c r="W380" t="str">
        <f>""</f>
        <v/>
      </c>
      <c r="X380">
        <v>1</v>
      </c>
      <c r="Y380">
        <v>1</v>
      </c>
      <c r="Z380">
        <v>0.73</v>
      </c>
      <c r="AA380">
        <v>0.93</v>
      </c>
      <c r="AB380">
        <v>3</v>
      </c>
      <c r="AC380">
        <v>0.93</v>
      </c>
      <c r="AD380">
        <v>0.93</v>
      </c>
      <c r="AE380">
        <v>1.1000000000000001</v>
      </c>
      <c r="AF380">
        <v>0.5</v>
      </c>
      <c r="AG380" t="str">
        <f t="shared" si="330"/>
        <v>205</v>
      </c>
      <c r="AH380" t="str">
        <f t="shared" si="331"/>
        <v>（株）ムロコーポレーション</v>
      </c>
      <c r="AI380" t="str">
        <f>"062"</f>
        <v>062</v>
      </c>
      <c r="AJ380" t="str">
        <f>""</f>
        <v/>
      </c>
      <c r="AK380" t="str">
        <f>""</f>
        <v/>
      </c>
      <c r="AL380" t="str">
        <f t="shared" si="353"/>
        <v>0370</v>
      </c>
      <c r="AM380" t="str">
        <f t="shared" si="354"/>
        <v>ｼﾑ</v>
      </c>
      <c r="AN380" t="str">
        <f t="shared" si="332"/>
        <v>012</v>
      </c>
      <c r="AO380" t="str">
        <f t="shared" si="333"/>
        <v>TP-131 ﾊﾝﾖｳ</v>
      </c>
      <c r="AP380">
        <v>100</v>
      </c>
      <c r="AQ380" t="str">
        <f>""</f>
        <v/>
      </c>
      <c r="AR380" t="str">
        <f>""</f>
        <v/>
      </c>
      <c r="AS380" t="str">
        <f>""</f>
        <v/>
      </c>
      <c r="AT380" t="str">
        <f t="shared" si="334"/>
        <v>00</v>
      </c>
      <c r="AU380">
        <v>0.5</v>
      </c>
      <c r="AV380" t="str">
        <f>""</f>
        <v/>
      </c>
      <c r="AW380" t="str">
        <f t="shared" si="355"/>
        <v>06</v>
      </c>
      <c r="AX380" t="str">
        <f t="shared" si="356"/>
        <v>計画</v>
      </c>
      <c r="AY380" t="str">
        <f t="shared" si="357"/>
        <v>02</v>
      </c>
      <c r="AZ380" t="str">
        <f t="shared" si="358"/>
        <v>計画・２社</v>
      </c>
      <c r="BA380" t="str">
        <f>""</f>
        <v/>
      </c>
      <c r="BB380" t="str">
        <f t="shared" si="335"/>
        <v>ＴＰ１３１フタナシ</v>
      </c>
      <c r="BC380" t="str">
        <f t="shared" si="336"/>
        <v xml:space="preserve"> 335.000</v>
      </c>
      <c r="BD380" t="str">
        <f t="shared" si="337"/>
        <v xml:space="preserve"> 168.000</v>
      </c>
      <c r="BE380" t="str">
        <f t="shared" si="338"/>
        <v xml:space="preserve"> 103.000</v>
      </c>
      <c r="BF380" t="str">
        <f t="shared" si="339"/>
        <v xml:space="preserve">   0.006</v>
      </c>
      <c r="BG380" t="str">
        <f t="shared" si="366"/>
        <v xml:space="preserve">   3.530</v>
      </c>
      <c r="BH380" t="str">
        <f t="shared" si="364"/>
        <v>しない</v>
      </c>
      <c r="BI380" t="str">
        <f>""</f>
        <v/>
      </c>
      <c r="BJ380" t="str">
        <f t="shared" si="362"/>
        <v>MASTER01</v>
      </c>
      <c r="BK380" t="str">
        <f t="shared" si="367"/>
        <v>2023/01/17</v>
      </c>
      <c r="BL380" t="str">
        <f t="shared" si="350"/>
        <v>NE00</v>
      </c>
      <c r="BM380" t="str">
        <f t="shared" si="351"/>
        <v>１工工務Ｇ</v>
      </c>
      <c r="BN380" t="str">
        <f t="shared" si="359"/>
        <v>46548</v>
      </c>
      <c r="BO380" t="str">
        <f t="shared" si="360"/>
        <v>長畑　玲奈</v>
      </c>
    </row>
    <row r="381" spans="1:67">
      <c r="A381" t="s">
        <v>463</v>
      </c>
      <c r="B381" t="str">
        <f>""</f>
        <v/>
      </c>
      <c r="C381" t="str">
        <f>""</f>
        <v/>
      </c>
      <c r="D381" t="str">
        <f t="shared" si="352"/>
        <v>SHIM</v>
      </c>
      <c r="E381" t="str">
        <f t="shared" si="340"/>
        <v>1Y</v>
      </c>
      <c r="F381" t="str">
        <f t="shared" si="341"/>
        <v>第１工場</v>
      </c>
      <c r="G381" t="str">
        <f t="shared" si="342"/>
        <v>手配</v>
      </c>
      <c r="H381" t="str">
        <f t="shared" si="343"/>
        <v>Ｐ</v>
      </c>
      <c r="I381" t="str">
        <f t="shared" si="328"/>
        <v>6454</v>
      </c>
      <c r="J381" t="str">
        <f t="shared" si="329"/>
        <v>（株）ムロコーポレーション</v>
      </c>
      <c r="K381" t="str">
        <f t="shared" si="368"/>
        <v>01</v>
      </c>
      <c r="L381" t="str">
        <f>""</f>
        <v/>
      </c>
      <c r="M381" t="str">
        <f t="shared" si="365"/>
        <v>――</v>
      </c>
      <c r="N381" t="str">
        <f t="shared" si="365"/>
        <v>――</v>
      </c>
      <c r="O381" t="str">
        <f t="shared" si="344"/>
        <v>Ｍ</v>
      </c>
      <c r="P381" t="str">
        <f t="shared" si="345"/>
        <v>01</v>
      </c>
      <c r="Q381" t="str">
        <f t="shared" si="346"/>
        <v>第１</v>
      </c>
      <c r="R381" t="str">
        <f t="shared" si="347"/>
        <v>1Y</v>
      </c>
      <c r="S381" t="str">
        <f t="shared" si="348"/>
        <v>安城第１工場</v>
      </c>
      <c r="T381" t="str">
        <f t="shared" si="349"/>
        <v>直接</v>
      </c>
      <c r="U381" t="str">
        <f>""</f>
        <v/>
      </c>
      <c r="V381" t="str">
        <f>""</f>
        <v/>
      </c>
      <c r="W381" t="str">
        <f>""</f>
        <v/>
      </c>
      <c r="X381">
        <v>1</v>
      </c>
      <c r="Y381">
        <v>1</v>
      </c>
      <c r="Z381">
        <v>0.73</v>
      </c>
      <c r="AA381">
        <v>0.93</v>
      </c>
      <c r="AB381">
        <v>3</v>
      </c>
      <c r="AC381">
        <v>0.93</v>
      </c>
      <c r="AD381">
        <v>0.93</v>
      </c>
      <c r="AE381">
        <v>1.1000000000000001</v>
      </c>
      <c r="AF381">
        <v>0.5</v>
      </c>
      <c r="AG381" t="str">
        <f t="shared" si="330"/>
        <v>205</v>
      </c>
      <c r="AH381" t="str">
        <f t="shared" si="331"/>
        <v>（株）ムロコーポレーション</v>
      </c>
      <c r="AI381" t="str">
        <f>"063"</f>
        <v>063</v>
      </c>
      <c r="AJ381" t="str">
        <f>""</f>
        <v/>
      </c>
      <c r="AK381" t="str">
        <f>""</f>
        <v/>
      </c>
      <c r="AL381" t="str">
        <f t="shared" si="353"/>
        <v>0370</v>
      </c>
      <c r="AM381" t="str">
        <f t="shared" si="354"/>
        <v>ｼﾑ</v>
      </c>
      <c r="AN381" t="str">
        <f t="shared" si="332"/>
        <v>012</v>
      </c>
      <c r="AO381" t="str">
        <f t="shared" si="333"/>
        <v>TP-131 ﾊﾝﾖｳ</v>
      </c>
      <c r="AP381">
        <v>100</v>
      </c>
      <c r="AQ381" t="str">
        <f>""</f>
        <v/>
      </c>
      <c r="AR381" t="str">
        <f>""</f>
        <v/>
      </c>
      <c r="AS381" t="str">
        <f>""</f>
        <v/>
      </c>
      <c r="AT381" t="str">
        <f t="shared" si="334"/>
        <v>00</v>
      </c>
      <c r="AU381">
        <v>0.5</v>
      </c>
      <c r="AV381" t="str">
        <f>""</f>
        <v/>
      </c>
      <c r="AW381" t="str">
        <f t="shared" si="355"/>
        <v>06</v>
      </c>
      <c r="AX381" t="str">
        <f t="shared" si="356"/>
        <v>計画</v>
      </c>
      <c r="AY381" t="str">
        <f t="shared" si="357"/>
        <v>02</v>
      </c>
      <c r="AZ381" t="str">
        <f t="shared" si="358"/>
        <v>計画・２社</v>
      </c>
      <c r="BA381" t="str">
        <f>""</f>
        <v/>
      </c>
      <c r="BB381" t="str">
        <f t="shared" si="335"/>
        <v>ＴＰ１３１フタナシ</v>
      </c>
      <c r="BC381" t="str">
        <f t="shared" si="336"/>
        <v xml:space="preserve"> 335.000</v>
      </c>
      <c r="BD381" t="str">
        <f t="shared" si="337"/>
        <v xml:space="preserve"> 168.000</v>
      </c>
      <c r="BE381" t="str">
        <f t="shared" si="338"/>
        <v xml:space="preserve"> 103.000</v>
      </c>
      <c r="BF381" t="str">
        <f t="shared" si="339"/>
        <v xml:space="preserve">   0.006</v>
      </c>
      <c r="BG381" t="str">
        <f t="shared" si="366"/>
        <v xml:space="preserve">   3.530</v>
      </c>
      <c r="BH381" t="str">
        <f t="shared" si="364"/>
        <v>しない</v>
      </c>
      <c r="BI381" t="str">
        <f>""</f>
        <v/>
      </c>
      <c r="BJ381" t="str">
        <f t="shared" si="362"/>
        <v>MASTER01</v>
      </c>
      <c r="BK381" t="str">
        <f t="shared" si="367"/>
        <v>2023/01/17</v>
      </c>
      <c r="BL381" t="str">
        <f t="shared" si="350"/>
        <v>NE00</v>
      </c>
      <c r="BM381" t="str">
        <f t="shared" si="351"/>
        <v>１工工務Ｇ</v>
      </c>
      <c r="BN381" t="str">
        <f t="shared" si="359"/>
        <v>46548</v>
      </c>
      <c r="BO381" t="str">
        <f t="shared" si="360"/>
        <v>長畑　玲奈</v>
      </c>
    </row>
    <row r="382" spans="1:67">
      <c r="A382" t="s">
        <v>464</v>
      </c>
      <c r="B382" t="str">
        <f>""</f>
        <v/>
      </c>
      <c r="C382" t="str">
        <f>""</f>
        <v/>
      </c>
      <c r="D382" t="str">
        <f t="shared" si="352"/>
        <v>SHIM</v>
      </c>
      <c r="E382" t="str">
        <f t="shared" si="340"/>
        <v>1Y</v>
      </c>
      <c r="F382" t="str">
        <f t="shared" si="341"/>
        <v>第１工場</v>
      </c>
      <c r="G382" t="str">
        <f t="shared" si="342"/>
        <v>手配</v>
      </c>
      <c r="H382" t="str">
        <f t="shared" si="343"/>
        <v>Ｐ</v>
      </c>
      <c r="I382" t="str">
        <f t="shared" si="328"/>
        <v>6454</v>
      </c>
      <c r="J382" t="str">
        <f t="shared" si="329"/>
        <v>（株）ムロコーポレーション</v>
      </c>
      <c r="K382" t="str">
        <f t="shared" si="368"/>
        <v>01</v>
      </c>
      <c r="L382" t="str">
        <f>""</f>
        <v/>
      </c>
      <c r="M382" t="str">
        <f t="shared" si="365"/>
        <v>――</v>
      </c>
      <c r="N382" t="str">
        <f t="shared" si="365"/>
        <v>――</v>
      </c>
      <c r="O382" t="str">
        <f t="shared" si="344"/>
        <v>Ｍ</v>
      </c>
      <c r="P382" t="str">
        <f t="shared" si="345"/>
        <v>01</v>
      </c>
      <c r="Q382" t="str">
        <f t="shared" si="346"/>
        <v>第１</v>
      </c>
      <c r="R382" t="str">
        <f t="shared" si="347"/>
        <v>1Y</v>
      </c>
      <c r="S382" t="str">
        <f t="shared" si="348"/>
        <v>安城第１工場</v>
      </c>
      <c r="T382" t="str">
        <f t="shared" si="349"/>
        <v>直接</v>
      </c>
      <c r="U382" t="str">
        <f>""</f>
        <v/>
      </c>
      <c r="V382" t="str">
        <f>""</f>
        <v/>
      </c>
      <c r="W382" t="str">
        <f>""</f>
        <v/>
      </c>
      <c r="X382">
        <v>1</v>
      </c>
      <c r="Y382">
        <v>1</v>
      </c>
      <c r="Z382">
        <v>0.73</v>
      </c>
      <c r="AA382">
        <v>0.93</v>
      </c>
      <c r="AB382">
        <v>3</v>
      </c>
      <c r="AC382">
        <v>0.93</v>
      </c>
      <c r="AD382">
        <v>0.93</v>
      </c>
      <c r="AE382">
        <v>1.1000000000000001</v>
      </c>
      <c r="AF382">
        <v>0.5</v>
      </c>
      <c r="AG382" t="str">
        <f t="shared" si="330"/>
        <v>205</v>
      </c>
      <c r="AH382" t="str">
        <f t="shared" si="331"/>
        <v>（株）ムロコーポレーション</v>
      </c>
      <c r="AI382" t="str">
        <f>"064"</f>
        <v>064</v>
      </c>
      <c r="AJ382" t="str">
        <f>""</f>
        <v/>
      </c>
      <c r="AK382" t="str">
        <f>""</f>
        <v/>
      </c>
      <c r="AL382" t="str">
        <f t="shared" si="353"/>
        <v>0370</v>
      </c>
      <c r="AM382" t="str">
        <f t="shared" si="354"/>
        <v>ｼﾑ</v>
      </c>
      <c r="AN382" t="str">
        <f t="shared" si="332"/>
        <v>012</v>
      </c>
      <c r="AO382" t="str">
        <f t="shared" si="333"/>
        <v>TP-131 ﾊﾝﾖｳ</v>
      </c>
      <c r="AP382">
        <v>100</v>
      </c>
      <c r="AQ382" t="str">
        <f>""</f>
        <v/>
      </c>
      <c r="AR382" t="str">
        <f>""</f>
        <v/>
      </c>
      <c r="AS382" t="str">
        <f>""</f>
        <v/>
      </c>
      <c r="AT382" t="str">
        <f t="shared" si="334"/>
        <v>00</v>
      </c>
      <c r="AU382">
        <v>0.5</v>
      </c>
      <c r="AV382" t="str">
        <f>""</f>
        <v/>
      </c>
      <c r="AW382" t="str">
        <f t="shared" si="355"/>
        <v>06</v>
      </c>
      <c r="AX382" t="str">
        <f t="shared" si="356"/>
        <v>計画</v>
      </c>
      <c r="AY382" t="str">
        <f t="shared" si="357"/>
        <v>02</v>
      </c>
      <c r="AZ382" t="str">
        <f t="shared" si="358"/>
        <v>計画・２社</v>
      </c>
      <c r="BA382" t="str">
        <f>""</f>
        <v/>
      </c>
      <c r="BB382" t="str">
        <f t="shared" si="335"/>
        <v>ＴＰ１３１フタナシ</v>
      </c>
      <c r="BC382" t="str">
        <f t="shared" si="336"/>
        <v xml:space="preserve"> 335.000</v>
      </c>
      <c r="BD382" t="str">
        <f t="shared" si="337"/>
        <v xml:space="preserve"> 168.000</v>
      </c>
      <c r="BE382" t="str">
        <f t="shared" si="338"/>
        <v xml:space="preserve"> 103.000</v>
      </c>
      <c r="BF382" t="str">
        <f t="shared" si="339"/>
        <v xml:space="preserve">   0.006</v>
      </c>
      <c r="BG382" t="str">
        <f t="shared" ref="BG382:BG405" si="369">"   4.100"</f>
        <v xml:space="preserve">   4.100</v>
      </c>
      <c r="BH382" t="str">
        <f t="shared" si="364"/>
        <v>しない</v>
      </c>
      <c r="BI382" t="str">
        <f>""</f>
        <v/>
      </c>
      <c r="BJ382" t="str">
        <f t="shared" si="362"/>
        <v>MASTER01</v>
      </c>
      <c r="BK382" t="str">
        <f t="shared" si="367"/>
        <v>2023/01/17</v>
      </c>
      <c r="BL382" t="str">
        <f t="shared" si="350"/>
        <v>NE00</v>
      </c>
      <c r="BM382" t="str">
        <f t="shared" si="351"/>
        <v>１工工務Ｇ</v>
      </c>
      <c r="BN382" t="str">
        <f t="shared" si="359"/>
        <v>46548</v>
      </c>
      <c r="BO382" t="str">
        <f t="shared" si="360"/>
        <v>長畑　玲奈</v>
      </c>
    </row>
    <row r="383" spans="1:67">
      <c r="A383" t="s">
        <v>465</v>
      </c>
      <c r="B383" t="str">
        <f>""</f>
        <v/>
      </c>
      <c r="C383" t="str">
        <f>""</f>
        <v/>
      </c>
      <c r="D383" t="str">
        <f t="shared" si="352"/>
        <v>SHIM</v>
      </c>
      <c r="E383" t="str">
        <f t="shared" si="340"/>
        <v>1Y</v>
      </c>
      <c r="F383" t="str">
        <f t="shared" si="341"/>
        <v>第１工場</v>
      </c>
      <c r="G383" t="str">
        <f t="shared" si="342"/>
        <v>手配</v>
      </c>
      <c r="H383" t="str">
        <f t="shared" si="343"/>
        <v>Ｐ</v>
      </c>
      <c r="I383" t="str">
        <f t="shared" si="328"/>
        <v>6454</v>
      </c>
      <c r="J383" t="str">
        <f t="shared" si="329"/>
        <v>（株）ムロコーポレーション</v>
      </c>
      <c r="K383" t="str">
        <f t="shared" si="368"/>
        <v>01</v>
      </c>
      <c r="L383" t="str">
        <f>""</f>
        <v/>
      </c>
      <c r="M383" t="str">
        <f t="shared" si="365"/>
        <v>――</v>
      </c>
      <c r="N383" t="str">
        <f t="shared" si="365"/>
        <v>――</v>
      </c>
      <c r="O383" t="str">
        <f t="shared" si="344"/>
        <v>Ｍ</v>
      </c>
      <c r="P383" t="str">
        <f t="shared" si="345"/>
        <v>01</v>
      </c>
      <c r="Q383" t="str">
        <f t="shared" si="346"/>
        <v>第１</v>
      </c>
      <c r="R383" t="str">
        <f t="shared" si="347"/>
        <v>1Y</v>
      </c>
      <c r="S383" t="str">
        <f t="shared" si="348"/>
        <v>安城第１工場</v>
      </c>
      <c r="T383" t="str">
        <f t="shared" si="349"/>
        <v>直接</v>
      </c>
      <c r="U383" t="str">
        <f>""</f>
        <v/>
      </c>
      <c r="V383" t="str">
        <f>""</f>
        <v/>
      </c>
      <c r="W383" t="str">
        <f>""</f>
        <v/>
      </c>
      <c r="X383">
        <v>1</v>
      </c>
      <c r="Y383">
        <v>1</v>
      </c>
      <c r="Z383">
        <v>0.73</v>
      </c>
      <c r="AA383">
        <v>0.93</v>
      </c>
      <c r="AB383">
        <v>3</v>
      </c>
      <c r="AC383">
        <v>0.93</v>
      </c>
      <c r="AD383">
        <v>0.93</v>
      </c>
      <c r="AE383">
        <v>1.1000000000000001</v>
      </c>
      <c r="AF383">
        <v>0.5</v>
      </c>
      <c r="AG383" t="str">
        <f t="shared" si="330"/>
        <v>205</v>
      </c>
      <c r="AH383" t="str">
        <f t="shared" si="331"/>
        <v>（株）ムロコーポレーション</v>
      </c>
      <c r="AI383" t="str">
        <f>"065"</f>
        <v>065</v>
      </c>
      <c r="AJ383" t="str">
        <f>""</f>
        <v/>
      </c>
      <c r="AK383" t="str">
        <f>""</f>
        <v/>
      </c>
      <c r="AL383" t="str">
        <f t="shared" si="353"/>
        <v>0370</v>
      </c>
      <c r="AM383" t="str">
        <f t="shared" si="354"/>
        <v>ｼﾑ</v>
      </c>
      <c r="AN383" t="str">
        <f t="shared" si="332"/>
        <v>012</v>
      </c>
      <c r="AO383" t="str">
        <f t="shared" si="333"/>
        <v>TP-131 ﾊﾝﾖｳ</v>
      </c>
      <c r="AP383">
        <v>100</v>
      </c>
      <c r="AQ383" t="str">
        <f>""</f>
        <v/>
      </c>
      <c r="AR383" t="str">
        <f>""</f>
        <v/>
      </c>
      <c r="AS383" t="str">
        <f>""</f>
        <v/>
      </c>
      <c r="AT383" t="str">
        <f t="shared" si="334"/>
        <v>00</v>
      </c>
      <c r="AU383">
        <v>0.5</v>
      </c>
      <c r="AV383" t="str">
        <f>""</f>
        <v/>
      </c>
      <c r="AW383" t="str">
        <f t="shared" si="355"/>
        <v>06</v>
      </c>
      <c r="AX383" t="str">
        <f t="shared" si="356"/>
        <v>計画</v>
      </c>
      <c r="AY383" t="str">
        <f t="shared" si="357"/>
        <v>02</v>
      </c>
      <c r="AZ383" t="str">
        <f t="shared" si="358"/>
        <v>計画・２社</v>
      </c>
      <c r="BA383" t="str">
        <f>""</f>
        <v/>
      </c>
      <c r="BB383" t="str">
        <f t="shared" si="335"/>
        <v>ＴＰ１３１フタナシ</v>
      </c>
      <c r="BC383" t="str">
        <f t="shared" si="336"/>
        <v xml:space="preserve"> 335.000</v>
      </c>
      <c r="BD383" t="str">
        <f t="shared" si="337"/>
        <v xml:space="preserve"> 168.000</v>
      </c>
      <c r="BE383" t="str">
        <f t="shared" si="338"/>
        <v xml:space="preserve"> 103.000</v>
      </c>
      <c r="BF383" t="str">
        <f t="shared" si="339"/>
        <v xml:space="preserve">   0.006</v>
      </c>
      <c r="BG383" t="str">
        <f t="shared" si="369"/>
        <v xml:space="preserve">   4.100</v>
      </c>
      <c r="BH383" t="str">
        <f t="shared" si="364"/>
        <v>しない</v>
      </c>
      <c r="BI383" t="str">
        <f>""</f>
        <v/>
      </c>
      <c r="BJ383" t="str">
        <f t="shared" si="362"/>
        <v>MASTER01</v>
      </c>
      <c r="BK383" t="str">
        <f t="shared" si="367"/>
        <v>2023/01/17</v>
      </c>
      <c r="BL383" t="str">
        <f t="shared" si="350"/>
        <v>NE00</v>
      </c>
      <c r="BM383" t="str">
        <f t="shared" si="351"/>
        <v>１工工務Ｇ</v>
      </c>
      <c r="BN383" t="str">
        <f t="shared" si="359"/>
        <v>46548</v>
      </c>
      <c r="BO383" t="str">
        <f t="shared" si="360"/>
        <v>長畑　玲奈</v>
      </c>
    </row>
    <row r="384" spans="1:67">
      <c r="A384" t="s">
        <v>466</v>
      </c>
      <c r="B384" t="str">
        <f>""</f>
        <v/>
      </c>
      <c r="C384" t="str">
        <f>""</f>
        <v/>
      </c>
      <c r="D384" t="str">
        <f t="shared" si="352"/>
        <v>SHIM</v>
      </c>
      <c r="E384" t="str">
        <f t="shared" si="340"/>
        <v>1Y</v>
      </c>
      <c r="F384" t="str">
        <f t="shared" si="341"/>
        <v>第１工場</v>
      </c>
      <c r="G384" t="str">
        <f t="shared" si="342"/>
        <v>手配</v>
      </c>
      <c r="H384" t="str">
        <f t="shared" si="343"/>
        <v>Ｐ</v>
      </c>
      <c r="I384" t="str">
        <f t="shared" si="328"/>
        <v>6454</v>
      </c>
      <c r="J384" t="str">
        <f t="shared" si="329"/>
        <v>（株）ムロコーポレーション</v>
      </c>
      <c r="K384" t="str">
        <f t="shared" si="368"/>
        <v>01</v>
      </c>
      <c r="L384" t="str">
        <f>""</f>
        <v/>
      </c>
      <c r="M384" t="str">
        <f t="shared" si="365"/>
        <v>――</v>
      </c>
      <c r="N384" t="str">
        <f t="shared" si="365"/>
        <v>――</v>
      </c>
      <c r="O384" t="str">
        <f t="shared" si="344"/>
        <v>Ｍ</v>
      </c>
      <c r="P384" t="str">
        <f t="shared" si="345"/>
        <v>01</v>
      </c>
      <c r="Q384" t="str">
        <f t="shared" si="346"/>
        <v>第１</v>
      </c>
      <c r="R384" t="str">
        <f t="shared" si="347"/>
        <v>1Y</v>
      </c>
      <c r="S384" t="str">
        <f t="shared" si="348"/>
        <v>安城第１工場</v>
      </c>
      <c r="T384" t="str">
        <f t="shared" si="349"/>
        <v>直接</v>
      </c>
      <c r="U384" t="str">
        <f>""</f>
        <v/>
      </c>
      <c r="V384" t="str">
        <f>""</f>
        <v/>
      </c>
      <c r="W384" t="str">
        <f>""</f>
        <v/>
      </c>
      <c r="X384">
        <v>1</v>
      </c>
      <c r="Y384">
        <v>1</v>
      </c>
      <c r="Z384">
        <v>0.73</v>
      </c>
      <c r="AA384">
        <v>0.93</v>
      </c>
      <c r="AB384">
        <v>3</v>
      </c>
      <c r="AC384">
        <v>0.93</v>
      </c>
      <c r="AD384">
        <v>0.93</v>
      </c>
      <c r="AE384">
        <v>1.1000000000000001</v>
      </c>
      <c r="AF384">
        <v>0.5</v>
      </c>
      <c r="AG384" t="str">
        <f t="shared" si="330"/>
        <v>205</v>
      </c>
      <c r="AH384" t="str">
        <f t="shared" si="331"/>
        <v>（株）ムロコーポレーション</v>
      </c>
      <c r="AI384" t="str">
        <f>"066"</f>
        <v>066</v>
      </c>
      <c r="AJ384" t="str">
        <f>""</f>
        <v/>
      </c>
      <c r="AK384" t="str">
        <f>""</f>
        <v/>
      </c>
      <c r="AL384" t="str">
        <f t="shared" si="353"/>
        <v>0370</v>
      </c>
      <c r="AM384" t="str">
        <f t="shared" si="354"/>
        <v>ｼﾑ</v>
      </c>
      <c r="AN384" t="str">
        <f t="shared" si="332"/>
        <v>012</v>
      </c>
      <c r="AO384" t="str">
        <f t="shared" si="333"/>
        <v>TP-131 ﾊﾝﾖｳ</v>
      </c>
      <c r="AP384">
        <v>100</v>
      </c>
      <c r="AQ384" t="str">
        <f>""</f>
        <v/>
      </c>
      <c r="AR384" t="str">
        <f>""</f>
        <v/>
      </c>
      <c r="AS384" t="str">
        <f>""</f>
        <v/>
      </c>
      <c r="AT384" t="str">
        <f t="shared" si="334"/>
        <v>00</v>
      </c>
      <c r="AU384">
        <v>0.5</v>
      </c>
      <c r="AV384" t="str">
        <f>""</f>
        <v/>
      </c>
      <c r="AW384" t="str">
        <f t="shared" si="355"/>
        <v>06</v>
      </c>
      <c r="AX384" t="str">
        <f t="shared" si="356"/>
        <v>計画</v>
      </c>
      <c r="AY384" t="str">
        <f t="shared" si="357"/>
        <v>02</v>
      </c>
      <c r="AZ384" t="str">
        <f t="shared" si="358"/>
        <v>計画・２社</v>
      </c>
      <c r="BA384" t="str">
        <f>""</f>
        <v/>
      </c>
      <c r="BB384" t="str">
        <f t="shared" si="335"/>
        <v>ＴＰ１３１フタナシ</v>
      </c>
      <c r="BC384" t="str">
        <f t="shared" si="336"/>
        <v xml:space="preserve"> 335.000</v>
      </c>
      <c r="BD384" t="str">
        <f t="shared" si="337"/>
        <v xml:space="preserve"> 168.000</v>
      </c>
      <c r="BE384" t="str">
        <f t="shared" si="338"/>
        <v xml:space="preserve"> 103.000</v>
      </c>
      <c r="BF384" t="str">
        <f t="shared" si="339"/>
        <v xml:space="preserve">   0.006</v>
      </c>
      <c r="BG384" t="str">
        <f t="shared" si="369"/>
        <v xml:space="preserve">   4.100</v>
      </c>
      <c r="BH384" t="str">
        <f t="shared" si="364"/>
        <v>しない</v>
      </c>
      <c r="BI384" t="str">
        <f>""</f>
        <v/>
      </c>
      <c r="BJ384" t="str">
        <f t="shared" si="362"/>
        <v>MASTER01</v>
      </c>
      <c r="BK384" t="str">
        <f t="shared" si="367"/>
        <v>2023/01/17</v>
      </c>
      <c r="BL384" t="str">
        <f t="shared" si="350"/>
        <v>NE00</v>
      </c>
      <c r="BM384" t="str">
        <f t="shared" si="351"/>
        <v>１工工務Ｇ</v>
      </c>
      <c r="BN384" t="str">
        <f t="shared" si="359"/>
        <v>46548</v>
      </c>
      <c r="BO384" t="str">
        <f t="shared" si="360"/>
        <v>長畑　玲奈</v>
      </c>
    </row>
    <row r="385" spans="1:67">
      <c r="A385" t="s">
        <v>467</v>
      </c>
      <c r="B385" t="str">
        <f>""</f>
        <v/>
      </c>
      <c r="C385" t="str">
        <f>""</f>
        <v/>
      </c>
      <c r="D385" t="str">
        <f t="shared" si="352"/>
        <v>SHIM</v>
      </c>
      <c r="E385" t="str">
        <f t="shared" si="340"/>
        <v>1Y</v>
      </c>
      <c r="F385" t="str">
        <f t="shared" si="341"/>
        <v>第１工場</v>
      </c>
      <c r="G385" t="str">
        <f t="shared" si="342"/>
        <v>手配</v>
      </c>
      <c r="H385" t="str">
        <f t="shared" si="343"/>
        <v>Ｐ</v>
      </c>
      <c r="I385" t="str">
        <f t="shared" ref="I385:I448" si="370">"6454"</f>
        <v>6454</v>
      </c>
      <c r="J385" t="str">
        <f t="shared" ref="J385:J448" si="371">"（株）ムロコーポレーション"</f>
        <v>（株）ムロコーポレーション</v>
      </c>
      <c r="K385" t="str">
        <f t="shared" si="368"/>
        <v>01</v>
      </c>
      <c r="L385" t="str">
        <f>""</f>
        <v/>
      </c>
      <c r="M385" t="str">
        <f t="shared" si="365"/>
        <v>――</v>
      </c>
      <c r="N385" t="str">
        <f t="shared" si="365"/>
        <v>――</v>
      </c>
      <c r="O385" t="str">
        <f t="shared" si="344"/>
        <v>Ｍ</v>
      </c>
      <c r="P385" t="str">
        <f t="shared" si="345"/>
        <v>01</v>
      </c>
      <c r="Q385" t="str">
        <f t="shared" si="346"/>
        <v>第１</v>
      </c>
      <c r="R385" t="str">
        <f t="shared" si="347"/>
        <v>1Y</v>
      </c>
      <c r="S385" t="str">
        <f t="shared" si="348"/>
        <v>安城第１工場</v>
      </c>
      <c r="T385" t="str">
        <f t="shared" si="349"/>
        <v>直接</v>
      </c>
      <c r="U385" t="str">
        <f>""</f>
        <v/>
      </c>
      <c r="V385" t="str">
        <f>""</f>
        <v/>
      </c>
      <c r="W385" t="str">
        <f>""</f>
        <v/>
      </c>
      <c r="X385">
        <v>1</v>
      </c>
      <c r="Y385">
        <v>1</v>
      </c>
      <c r="Z385">
        <v>0.73</v>
      </c>
      <c r="AA385">
        <v>0.93</v>
      </c>
      <c r="AB385">
        <v>3</v>
      </c>
      <c r="AC385">
        <v>0.93</v>
      </c>
      <c r="AD385">
        <v>0.93</v>
      </c>
      <c r="AE385">
        <v>1.1000000000000001</v>
      </c>
      <c r="AF385">
        <v>0.5</v>
      </c>
      <c r="AG385" t="str">
        <f t="shared" ref="AG385:AG448" si="372">"205"</f>
        <v>205</v>
      </c>
      <c r="AH385" t="str">
        <f t="shared" ref="AH385:AH448" si="373">"（株）ムロコーポレーション"</f>
        <v>（株）ムロコーポレーション</v>
      </c>
      <c r="AI385" t="str">
        <f>"067"</f>
        <v>067</v>
      </c>
      <c r="AJ385" t="str">
        <f>""</f>
        <v/>
      </c>
      <c r="AK385" t="str">
        <f>""</f>
        <v/>
      </c>
      <c r="AL385" t="str">
        <f t="shared" si="353"/>
        <v>0370</v>
      </c>
      <c r="AM385" t="str">
        <f t="shared" si="354"/>
        <v>ｼﾑ</v>
      </c>
      <c r="AN385" t="str">
        <f t="shared" ref="AN385:AN448" si="374">"012"</f>
        <v>012</v>
      </c>
      <c r="AO385" t="str">
        <f t="shared" ref="AO385:AO448" si="375">"TP-131 ﾊﾝﾖｳ"</f>
        <v>TP-131 ﾊﾝﾖｳ</v>
      </c>
      <c r="AP385">
        <v>100</v>
      </c>
      <c r="AQ385" t="str">
        <f>""</f>
        <v/>
      </c>
      <c r="AR385" t="str">
        <f>""</f>
        <v/>
      </c>
      <c r="AS385" t="str">
        <f>""</f>
        <v/>
      </c>
      <c r="AT385" t="str">
        <f t="shared" ref="AT385:AT448" si="376">"00"</f>
        <v>00</v>
      </c>
      <c r="AU385">
        <v>0.5</v>
      </c>
      <c r="AV385" t="str">
        <f>""</f>
        <v/>
      </c>
      <c r="AW385" t="str">
        <f t="shared" si="355"/>
        <v>06</v>
      </c>
      <c r="AX385" t="str">
        <f t="shared" si="356"/>
        <v>計画</v>
      </c>
      <c r="AY385" t="str">
        <f t="shared" si="357"/>
        <v>02</v>
      </c>
      <c r="AZ385" t="str">
        <f t="shared" si="358"/>
        <v>計画・２社</v>
      </c>
      <c r="BA385" t="str">
        <f>""</f>
        <v/>
      </c>
      <c r="BB385" t="str">
        <f t="shared" ref="BB385:BB448" si="377">"ＴＰ１３１フタナシ"</f>
        <v>ＴＰ１３１フタナシ</v>
      </c>
      <c r="BC385" t="str">
        <f t="shared" ref="BC385:BC448" si="378">" 335.000"</f>
        <v xml:space="preserve"> 335.000</v>
      </c>
      <c r="BD385" t="str">
        <f t="shared" ref="BD385:BD448" si="379">" 168.000"</f>
        <v xml:space="preserve"> 168.000</v>
      </c>
      <c r="BE385" t="str">
        <f t="shared" ref="BE385:BE448" si="380">" 103.000"</f>
        <v xml:space="preserve"> 103.000</v>
      </c>
      <c r="BF385" t="str">
        <f t="shared" ref="BF385:BF448" si="381">"   0.006"</f>
        <v xml:space="preserve">   0.006</v>
      </c>
      <c r="BG385" t="str">
        <f t="shared" si="369"/>
        <v xml:space="preserve">   4.100</v>
      </c>
      <c r="BH385" t="str">
        <f t="shared" si="364"/>
        <v>しない</v>
      </c>
      <c r="BI385" t="str">
        <f>""</f>
        <v/>
      </c>
      <c r="BJ385" t="str">
        <f t="shared" si="362"/>
        <v>MASTER01</v>
      </c>
      <c r="BK385" t="str">
        <f t="shared" si="367"/>
        <v>2023/01/17</v>
      </c>
      <c r="BL385" t="str">
        <f t="shared" si="350"/>
        <v>NE00</v>
      </c>
      <c r="BM385" t="str">
        <f t="shared" si="351"/>
        <v>１工工務Ｇ</v>
      </c>
      <c r="BN385" t="str">
        <f t="shared" si="359"/>
        <v>46548</v>
      </c>
      <c r="BO385" t="str">
        <f t="shared" si="360"/>
        <v>長畑　玲奈</v>
      </c>
    </row>
    <row r="386" spans="1:67">
      <c r="A386" t="s">
        <v>468</v>
      </c>
      <c r="B386" t="str">
        <f>""</f>
        <v/>
      </c>
      <c r="C386" t="str">
        <f>""</f>
        <v/>
      </c>
      <c r="D386" t="str">
        <f t="shared" si="352"/>
        <v>SHIM</v>
      </c>
      <c r="E386" t="str">
        <f t="shared" ref="E386:E449" si="382">"1Y"</f>
        <v>1Y</v>
      </c>
      <c r="F386" t="str">
        <f t="shared" ref="F386:F449" si="383">"第１工場"</f>
        <v>第１工場</v>
      </c>
      <c r="G386" t="str">
        <f t="shared" ref="G386:G449" si="384">"手配"</f>
        <v>手配</v>
      </c>
      <c r="H386" t="str">
        <f t="shared" ref="H386:H449" si="385">"Ｐ"</f>
        <v>Ｐ</v>
      </c>
      <c r="I386" t="str">
        <f t="shared" si="370"/>
        <v>6454</v>
      </c>
      <c r="J386" t="str">
        <f t="shared" si="371"/>
        <v>（株）ムロコーポレーション</v>
      </c>
      <c r="K386" t="str">
        <f t="shared" si="368"/>
        <v>01</v>
      </c>
      <c r="L386" t="str">
        <f>""</f>
        <v/>
      </c>
      <c r="M386" t="str">
        <f t="shared" si="365"/>
        <v>――</v>
      </c>
      <c r="N386" t="str">
        <f t="shared" si="365"/>
        <v>――</v>
      </c>
      <c r="O386" t="str">
        <f t="shared" ref="O386:O449" si="386">"Ｍ"</f>
        <v>Ｍ</v>
      </c>
      <c r="P386" t="str">
        <f t="shared" ref="P386:P449" si="387">"01"</f>
        <v>01</v>
      </c>
      <c r="Q386" t="str">
        <f t="shared" ref="Q386:Q449" si="388">"第１"</f>
        <v>第１</v>
      </c>
      <c r="R386" t="str">
        <f t="shared" ref="R386:R449" si="389">"1Y"</f>
        <v>1Y</v>
      </c>
      <c r="S386" t="str">
        <f t="shared" ref="S386:S449" si="390">"安城第１工場"</f>
        <v>安城第１工場</v>
      </c>
      <c r="T386" t="str">
        <f t="shared" ref="T386:T449" si="391">"直接"</f>
        <v>直接</v>
      </c>
      <c r="U386" t="str">
        <f>""</f>
        <v/>
      </c>
      <c r="V386" t="str">
        <f>""</f>
        <v/>
      </c>
      <c r="W386" t="str">
        <f>""</f>
        <v/>
      </c>
      <c r="X386">
        <v>1</v>
      </c>
      <c r="Y386">
        <v>1</v>
      </c>
      <c r="Z386">
        <v>0.73</v>
      </c>
      <c r="AA386">
        <v>0.93</v>
      </c>
      <c r="AB386">
        <v>3</v>
      </c>
      <c r="AC386">
        <v>0.93</v>
      </c>
      <c r="AD386">
        <v>0.93</v>
      </c>
      <c r="AE386">
        <v>1.1000000000000001</v>
      </c>
      <c r="AF386">
        <v>0.5</v>
      </c>
      <c r="AG386" t="str">
        <f t="shared" si="372"/>
        <v>205</v>
      </c>
      <c r="AH386" t="str">
        <f t="shared" si="373"/>
        <v>（株）ムロコーポレーション</v>
      </c>
      <c r="AI386" t="str">
        <f>"068"</f>
        <v>068</v>
      </c>
      <c r="AJ386" t="str">
        <f>""</f>
        <v/>
      </c>
      <c r="AK386" t="str">
        <f>""</f>
        <v/>
      </c>
      <c r="AL386" t="str">
        <f t="shared" si="353"/>
        <v>0370</v>
      </c>
      <c r="AM386" t="str">
        <f t="shared" si="354"/>
        <v>ｼﾑ</v>
      </c>
      <c r="AN386" t="str">
        <f t="shared" si="374"/>
        <v>012</v>
      </c>
      <c r="AO386" t="str">
        <f t="shared" si="375"/>
        <v>TP-131 ﾊﾝﾖｳ</v>
      </c>
      <c r="AP386">
        <v>100</v>
      </c>
      <c r="AQ386" t="str">
        <f>""</f>
        <v/>
      </c>
      <c r="AR386" t="str">
        <f>""</f>
        <v/>
      </c>
      <c r="AS386" t="str">
        <f>""</f>
        <v/>
      </c>
      <c r="AT386" t="str">
        <f t="shared" si="376"/>
        <v>00</v>
      </c>
      <c r="AU386">
        <v>0.5</v>
      </c>
      <c r="AV386" t="str">
        <f>""</f>
        <v/>
      </c>
      <c r="AW386" t="str">
        <f t="shared" si="355"/>
        <v>06</v>
      </c>
      <c r="AX386" t="str">
        <f t="shared" si="356"/>
        <v>計画</v>
      </c>
      <c r="AY386" t="str">
        <f t="shared" si="357"/>
        <v>02</v>
      </c>
      <c r="AZ386" t="str">
        <f t="shared" si="358"/>
        <v>計画・２社</v>
      </c>
      <c r="BA386" t="str">
        <f>""</f>
        <v/>
      </c>
      <c r="BB386" t="str">
        <f t="shared" si="377"/>
        <v>ＴＰ１３１フタナシ</v>
      </c>
      <c r="BC386" t="str">
        <f t="shared" si="378"/>
        <v xml:space="preserve"> 335.000</v>
      </c>
      <c r="BD386" t="str">
        <f t="shared" si="379"/>
        <v xml:space="preserve"> 168.000</v>
      </c>
      <c r="BE386" t="str">
        <f t="shared" si="380"/>
        <v xml:space="preserve"> 103.000</v>
      </c>
      <c r="BF386" t="str">
        <f t="shared" si="381"/>
        <v xml:space="preserve">   0.006</v>
      </c>
      <c r="BG386" t="str">
        <f t="shared" si="369"/>
        <v xml:space="preserve">   4.100</v>
      </c>
      <c r="BH386" t="str">
        <f t="shared" si="364"/>
        <v>しない</v>
      </c>
      <c r="BI386" t="str">
        <f>""</f>
        <v/>
      </c>
      <c r="BJ386" t="str">
        <f t="shared" si="362"/>
        <v>MASTER01</v>
      </c>
      <c r="BK386" t="str">
        <f t="shared" si="367"/>
        <v>2023/01/17</v>
      </c>
      <c r="BL386" t="str">
        <f t="shared" ref="BL386:BL449" si="392">"NE00"</f>
        <v>NE00</v>
      </c>
      <c r="BM386" t="str">
        <f t="shared" ref="BM386:BM449" si="393">"１工工務Ｇ"</f>
        <v>１工工務Ｇ</v>
      </c>
      <c r="BN386" t="str">
        <f t="shared" si="359"/>
        <v>46548</v>
      </c>
      <c r="BO386" t="str">
        <f t="shared" si="360"/>
        <v>長畑　玲奈</v>
      </c>
    </row>
    <row r="387" spans="1:67">
      <c r="A387" t="s">
        <v>469</v>
      </c>
      <c r="B387" t="str">
        <f>""</f>
        <v/>
      </c>
      <c r="C387" t="str">
        <f>""</f>
        <v/>
      </c>
      <c r="D387" t="str">
        <f t="shared" si="352"/>
        <v>SHIM</v>
      </c>
      <c r="E387" t="str">
        <f t="shared" si="382"/>
        <v>1Y</v>
      </c>
      <c r="F387" t="str">
        <f t="shared" si="383"/>
        <v>第１工場</v>
      </c>
      <c r="G387" t="str">
        <f t="shared" si="384"/>
        <v>手配</v>
      </c>
      <c r="H387" t="str">
        <f t="shared" si="385"/>
        <v>Ｐ</v>
      </c>
      <c r="I387" t="str">
        <f t="shared" si="370"/>
        <v>6454</v>
      </c>
      <c r="J387" t="str">
        <f t="shared" si="371"/>
        <v>（株）ムロコーポレーション</v>
      </c>
      <c r="K387" t="str">
        <f t="shared" si="368"/>
        <v>01</v>
      </c>
      <c r="L387" t="str">
        <f>""</f>
        <v/>
      </c>
      <c r="M387" t="str">
        <f t="shared" si="365"/>
        <v>――</v>
      </c>
      <c r="N387" t="str">
        <f t="shared" si="365"/>
        <v>――</v>
      </c>
      <c r="O387" t="str">
        <f t="shared" si="386"/>
        <v>Ｍ</v>
      </c>
      <c r="P387" t="str">
        <f t="shared" si="387"/>
        <v>01</v>
      </c>
      <c r="Q387" t="str">
        <f t="shared" si="388"/>
        <v>第１</v>
      </c>
      <c r="R387" t="str">
        <f t="shared" si="389"/>
        <v>1Y</v>
      </c>
      <c r="S387" t="str">
        <f t="shared" si="390"/>
        <v>安城第１工場</v>
      </c>
      <c r="T387" t="str">
        <f t="shared" si="391"/>
        <v>直接</v>
      </c>
      <c r="U387" t="str">
        <f>""</f>
        <v/>
      </c>
      <c r="V387" t="str">
        <f>""</f>
        <v/>
      </c>
      <c r="W387" t="str">
        <f>""</f>
        <v/>
      </c>
      <c r="X387">
        <v>1</v>
      </c>
      <c r="Y387">
        <v>1</v>
      </c>
      <c r="Z387">
        <v>0.73</v>
      </c>
      <c r="AA387">
        <v>0.93</v>
      </c>
      <c r="AB387">
        <v>3</v>
      </c>
      <c r="AC387">
        <v>0.93</v>
      </c>
      <c r="AD387">
        <v>0.93</v>
      </c>
      <c r="AE387">
        <v>1.1000000000000001</v>
      </c>
      <c r="AF387">
        <v>0.5</v>
      </c>
      <c r="AG387" t="str">
        <f t="shared" si="372"/>
        <v>205</v>
      </c>
      <c r="AH387" t="str">
        <f t="shared" si="373"/>
        <v>（株）ムロコーポレーション</v>
      </c>
      <c r="AI387" t="str">
        <f>"069"</f>
        <v>069</v>
      </c>
      <c r="AJ387" t="str">
        <f>""</f>
        <v/>
      </c>
      <c r="AK387" t="str">
        <f>""</f>
        <v/>
      </c>
      <c r="AL387" t="str">
        <f t="shared" si="353"/>
        <v>0370</v>
      </c>
      <c r="AM387" t="str">
        <f t="shared" si="354"/>
        <v>ｼﾑ</v>
      </c>
      <c r="AN387" t="str">
        <f t="shared" si="374"/>
        <v>012</v>
      </c>
      <c r="AO387" t="str">
        <f t="shared" si="375"/>
        <v>TP-131 ﾊﾝﾖｳ</v>
      </c>
      <c r="AP387">
        <v>100</v>
      </c>
      <c r="AQ387" t="str">
        <f>""</f>
        <v/>
      </c>
      <c r="AR387" t="str">
        <f>""</f>
        <v/>
      </c>
      <c r="AS387" t="str">
        <f>""</f>
        <v/>
      </c>
      <c r="AT387" t="str">
        <f t="shared" si="376"/>
        <v>00</v>
      </c>
      <c r="AU387">
        <v>0.5</v>
      </c>
      <c r="AV387" t="str">
        <f>""</f>
        <v/>
      </c>
      <c r="AW387" t="str">
        <f t="shared" si="355"/>
        <v>06</v>
      </c>
      <c r="AX387" t="str">
        <f t="shared" si="356"/>
        <v>計画</v>
      </c>
      <c r="AY387" t="str">
        <f t="shared" si="357"/>
        <v>02</v>
      </c>
      <c r="AZ387" t="str">
        <f t="shared" si="358"/>
        <v>計画・２社</v>
      </c>
      <c r="BA387" t="str">
        <f>""</f>
        <v/>
      </c>
      <c r="BB387" t="str">
        <f t="shared" si="377"/>
        <v>ＴＰ１３１フタナシ</v>
      </c>
      <c r="BC387" t="str">
        <f t="shared" si="378"/>
        <v xml:space="preserve"> 335.000</v>
      </c>
      <c r="BD387" t="str">
        <f t="shared" si="379"/>
        <v xml:space="preserve"> 168.000</v>
      </c>
      <c r="BE387" t="str">
        <f t="shared" si="380"/>
        <v xml:space="preserve"> 103.000</v>
      </c>
      <c r="BF387" t="str">
        <f t="shared" si="381"/>
        <v xml:space="preserve">   0.006</v>
      </c>
      <c r="BG387" t="str">
        <f t="shared" si="369"/>
        <v xml:space="preserve">   4.100</v>
      </c>
      <c r="BH387" t="str">
        <f t="shared" si="364"/>
        <v>しない</v>
      </c>
      <c r="BI387" t="str">
        <f>""</f>
        <v/>
      </c>
      <c r="BJ387" t="str">
        <f t="shared" si="362"/>
        <v>MASTER01</v>
      </c>
      <c r="BK387" t="str">
        <f t="shared" si="367"/>
        <v>2023/01/17</v>
      </c>
      <c r="BL387" t="str">
        <f t="shared" si="392"/>
        <v>NE00</v>
      </c>
      <c r="BM387" t="str">
        <f t="shared" si="393"/>
        <v>１工工務Ｇ</v>
      </c>
      <c r="BN387" t="str">
        <f t="shared" si="359"/>
        <v>46548</v>
      </c>
      <c r="BO387" t="str">
        <f t="shared" si="360"/>
        <v>長畑　玲奈</v>
      </c>
    </row>
    <row r="388" spans="1:67">
      <c r="A388" t="s">
        <v>470</v>
      </c>
      <c r="B388" t="str">
        <f>""</f>
        <v/>
      </c>
      <c r="C388" t="str">
        <f>""</f>
        <v/>
      </c>
      <c r="D388" t="str">
        <f t="shared" ref="D388:D451" si="394">"SHIM"</f>
        <v>SHIM</v>
      </c>
      <c r="E388" t="str">
        <f t="shared" si="382"/>
        <v>1Y</v>
      </c>
      <c r="F388" t="str">
        <f t="shared" si="383"/>
        <v>第１工場</v>
      </c>
      <c r="G388" t="str">
        <f t="shared" si="384"/>
        <v>手配</v>
      </c>
      <c r="H388" t="str">
        <f t="shared" si="385"/>
        <v>Ｐ</v>
      </c>
      <c r="I388" t="str">
        <f t="shared" si="370"/>
        <v>6454</v>
      </c>
      <c r="J388" t="str">
        <f t="shared" si="371"/>
        <v>（株）ムロコーポレーション</v>
      </c>
      <c r="K388" t="str">
        <f t="shared" si="368"/>
        <v>01</v>
      </c>
      <c r="L388" t="str">
        <f>""</f>
        <v/>
      </c>
      <c r="M388" t="str">
        <f t="shared" si="365"/>
        <v>――</v>
      </c>
      <c r="N388" t="str">
        <f t="shared" si="365"/>
        <v>――</v>
      </c>
      <c r="O388" t="str">
        <f t="shared" si="386"/>
        <v>Ｍ</v>
      </c>
      <c r="P388" t="str">
        <f t="shared" si="387"/>
        <v>01</v>
      </c>
      <c r="Q388" t="str">
        <f t="shared" si="388"/>
        <v>第１</v>
      </c>
      <c r="R388" t="str">
        <f t="shared" si="389"/>
        <v>1Y</v>
      </c>
      <c r="S388" t="str">
        <f t="shared" si="390"/>
        <v>安城第１工場</v>
      </c>
      <c r="T388" t="str">
        <f t="shared" si="391"/>
        <v>直接</v>
      </c>
      <c r="U388" t="str">
        <f>""</f>
        <v/>
      </c>
      <c r="V388" t="str">
        <f>""</f>
        <v/>
      </c>
      <c r="W388" t="str">
        <f>""</f>
        <v/>
      </c>
      <c r="X388">
        <v>1</v>
      </c>
      <c r="Y388">
        <v>1</v>
      </c>
      <c r="Z388">
        <v>0.73</v>
      </c>
      <c r="AA388">
        <v>0.93</v>
      </c>
      <c r="AB388">
        <v>3</v>
      </c>
      <c r="AC388">
        <v>0.93</v>
      </c>
      <c r="AD388">
        <v>0.93</v>
      </c>
      <c r="AE388">
        <v>1.1000000000000001</v>
      </c>
      <c r="AF388">
        <v>0.5</v>
      </c>
      <c r="AG388" t="str">
        <f t="shared" si="372"/>
        <v>205</v>
      </c>
      <c r="AH388" t="str">
        <f t="shared" si="373"/>
        <v>（株）ムロコーポレーション</v>
      </c>
      <c r="AI388" t="str">
        <f>"070"</f>
        <v>070</v>
      </c>
      <c r="AJ388" t="str">
        <f>""</f>
        <v/>
      </c>
      <c r="AK388" t="str">
        <f>""</f>
        <v/>
      </c>
      <c r="AL388" t="str">
        <f t="shared" ref="AL388:AL451" si="395">"0370"</f>
        <v>0370</v>
      </c>
      <c r="AM388" t="str">
        <f t="shared" ref="AM388:AM451" si="396">"ｼﾑ"</f>
        <v>ｼﾑ</v>
      </c>
      <c r="AN388" t="str">
        <f t="shared" si="374"/>
        <v>012</v>
      </c>
      <c r="AO388" t="str">
        <f t="shared" si="375"/>
        <v>TP-131 ﾊﾝﾖｳ</v>
      </c>
      <c r="AP388">
        <v>100</v>
      </c>
      <c r="AQ388" t="str">
        <f>""</f>
        <v/>
      </c>
      <c r="AR388" t="str">
        <f>""</f>
        <v/>
      </c>
      <c r="AS388" t="str">
        <f>""</f>
        <v/>
      </c>
      <c r="AT388" t="str">
        <f t="shared" si="376"/>
        <v>00</v>
      </c>
      <c r="AU388">
        <v>0.5</v>
      </c>
      <c r="AV388" t="str">
        <f>""</f>
        <v/>
      </c>
      <c r="AW388" t="str">
        <f t="shared" ref="AW388:AW451" si="397">"06"</f>
        <v>06</v>
      </c>
      <c r="AX388" t="str">
        <f t="shared" ref="AX388:AX451" si="398">"計画"</f>
        <v>計画</v>
      </c>
      <c r="AY388" t="str">
        <f t="shared" ref="AY388:AY451" si="399">"02"</f>
        <v>02</v>
      </c>
      <c r="AZ388" t="str">
        <f t="shared" ref="AZ388:AZ451" si="400">"計画・２社"</f>
        <v>計画・２社</v>
      </c>
      <c r="BA388" t="str">
        <f>""</f>
        <v/>
      </c>
      <c r="BB388" t="str">
        <f t="shared" si="377"/>
        <v>ＴＰ１３１フタナシ</v>
      </c>
      <c r="BC388" t="str">
        <f t="shared" si="378"/>
        <v xml:space="preserve"> 335.000</v>
      </c>
      <c r="BD388" t="str">
        <f t="shared" si="379"/>
        <v xml:space="preserve"> 168.000</v>
      </c>
      <c r="BE388" t="str">
        <f t="shared" si="380"/>
        <v xml:space="preserve"> 103.000</v>
      </c>
      <c r="BF388" t="str">
        <f t="shared" si="381"/>
        <v xml:space="preserve">   0.006</v>
      </c>
      <c r="BG388" t="str">
        <f t="shared" si="369"/>
        <v xml:space="preserve">   4.100</v>
      </c>
      <c r="BH388" t="str">
        <f t="shared" si="364"/>
        <v>しない</v>
      </c>
      <c r="BI388" t="str">
        <f>""</f>
        <v/>
      </c>
      <c r="BJ388" t="str">
        <f t="shared" si="362"/>
        <v>MASTER01</v>
      </c>
      <c r="BK388" t="str">
        <f t="shared" si="367"/>
        <v>2023/01/17</v>
      </c>
      <c r="BL388" t="str">
        <f t="shared" si="392"/>
        <v>NE00</v>
      </c>
      <c r="BM388" t="str">
        <f t="shared" si="393"/>
        <v>１工工務Ｇ</v>
      </c>
      <c r="BN388" t="str">
        <f t="shared" si="359"/>
        <v>46548</v>
      </c>
      <c r="BO388" t="str">
        <f t="shared" si="360"/>
        <v>長畑　玲奈</v>
      </c>
    </row>
    <row r="389" spans="1:67">
      <c r="A389" t="s">
        <v>471</v>
      </c>
      <c r="B389" t="str">
        <f>""</f>
        <v/>
      </c>
      <c r="C389" t="str">
        <f>""</f>
        <v/>
      </c>
      <c r="D389" t="str">
        <f t="shared" si="394"/>
        <v>SHIM</v>
      </c>
      <c r="E389" t="str">
        <f t="shared" si="382"/>
        <v>1Y</v>
      </c>
      <c r="F389" t="str">
        <f t="shared" si="383"/>
        <v>第１工場</v>
      </c>
      <c r="G389" t="str">
        <f t="shared" si="384"/>
        <v>手配</v>
      </c>
      <c r="H389" t="str">
        <f t="shared" si="385"/>
        <v>Ｐ</v>
      </c>
      <c r="I389" t="str">
        <f t="shared" si="370"/>
        <v>6454</v>
      </c>
      <c r="J389" t="str">
        <f t="shared" si="371"/>
        <v>（株）ムロコーポレーション</v>
      </c>
      <c r="K389" t="str">
        <f t="shared" si="368"/>
        <v>01</v>
      </c>
      <c r="L389" t="str">
        <f>""</f>
        <v/>
      </c>
      <c r="M389" t="str">
        <f t="shared" si="365"/>
        <v>――</v>
      </c>
      <c r="N389" t="str">
        <f t="shared" si="365"/>
        <v>――</v>
      </c>
      <c r="O389" t="str">
        <f t="shared" si="386"/>
        <v>Ｍ</v>
      </c>
      <c r="P389" t="str">
        <f t="shared" si="387"/>
        <v>01</v>
      </c>
      <c r="Q389" t="str">
        <f t="shared" si="388"/>
        <v>第１</v>
      </c>
      <c r="R389" t="str">
        <f t="shared" si="389"/>
        <v>1Y</v>
      </c>
      <c r="S389" t="str">
        <f t="shared" si="390"/>
        <v>安城第１工場</v>
      </c>
      <c r="T389" t="str">
        <f t="shared" si="391"/>
        <v>直接</v>
      </c>
      <c r="U389" t="str">
        <f>""</f>
        <v/>
      </c>
      <c r="V389" t="str">
        <f>""</f>
        <v/>
      </c>
      <c r="W389" t="str">
        <f>""</f>
        <v/>
      </c>
      <c r="X389">
        <v>1</v>
      </c>
      <c r="Y389">
        <v>1</v>
      </c>
      <c r="Z389">
        <v>0.73</v>
      </c>
      <c r="AA389">
        <v>0.93</v>
      </c>
      <c r="AB389">
        <v>3</v>
      </c>
      <c r="AC389">
        <v>0.93</v>
      </c>
      <c r="AD389">
        <v>0.93</v>
      </c>
      <c r="AE389">
        <v>1.1000000000000001</v>
      </c>
      <c r="AF389">
        <v>0.5</v>
      </c>
      <c r="AG389" t="str">
        <f t="shared" si="372"/>
        <v>205</v>
      </c>
      <c r="AH389" t="str">
        <f t="shared" si="373"/>
        <v>（株）ムロコーポレーション</v>
      </c>
      <c r="AI389" t="str">
        <f>"071"</f>
        <v>071</v>
      </c>
      <c r="AJ389" t="str">
        <f>""</f>
        <v/>
      </c>
      <c r="AK389" t="str">
        <f>""</f>
        <v/>
      </c>
      <c r="AL389" t="str">
        <f t="shared" si="395"/>
        <v>0370</v>
      </c>
      <c r="AM389" t="str">
        <f t="shared" si="396"/>
        <v>ｼﾑ</v>
      </c>
      <c r="AN389" t="str">
        <f t="shared" si="374"/>
        <v>012</v>
      </c>
      <c r="AO389" t="str">
        <f t="shared" si="375"/>
        <v>TP-131 ﾊﾝﾖｳ</v>
      </c>
      <c r="AP389">
        <v>100</v>
      </c>
      <c r="AQ389" t="str">
        <f>""</f>
        <v/>
      </c>
      <c r="AR389" t="str">
        <f>""</f>
        <v/>
      </c>
      <c r="AS389" t="str">
        <f>""</f>
        <v/>
      </c>
      <c r="AT389" t="str">
        <f t="shared" si="376"/>
        <v>00</v>
      </c>
      <c r="AU389">
        <v>0.5</v>
      </c>
      <c r="AV389" t="str">
        <f>""</f>
        <v/>
      </c>
      <c r="AW389" t="str">
        <f t="shared" si="397"/>
        <v>06</v>
      </c>
      <c r="AX389" t="str">
        <f t="shared" si="398"/>
        <v>計画</v>
      </c>
      <c r="AY389" t="str">
        <f t="shared" si="399"/>
        <v>02</v>
      </c>
      <c r="AZ389" t="str">
        <f t="shared" si="400"/>
        <v>計画・２社</v>
      </c>
      <c r="BA389" t="str">
        <f>""</f>
        <v/>
      </c>
      <c r="BB389" t="str">
        <f t="shared" si="377"/>
        <v>ＴＰ１３１フタナシ</v>
      </c>
      <c r="BC389" t="str">
        <f t="shared" si="378"/>
        <v xml:space="preserve"> 335.000</v>
      </c>
      <c r="BD389" t="str">
        <f t="shared" si="379"/>
        <v xml:space="preserve"> 168.000</v>
      </c>
      <c r="BE389" t="str">
        <f t="shared" si="380"/>
        <v xml:space="preserve"> 103.000</v>
      </c>
      <c r="BF389" t="str">
        <f t="shared" si="381"/>
        <v xml:space="preserve">   0.006</v>
      </c>
      <c r="BG389" t="str">
        <f t="shared" si="369"/>
        <v xml:space="preserve">   4.100</v>
      </c>
      <c r="BH389" t="str">
        <f t="shared" si="364"/>
        <v>しない</v>
      </c>
      <c r="BI389" t="str">
        <f>""</f>
        <v/>
      </c>
      <c r="BJ389" t="str">
        <f t="shared" si="362"/>
        <v>MASTER01</v>
      </c>
      <c r="BK389" t="str">
        <f t="shared" si="367"/>
        <v>2023/01/17</v>
      </c>
      <c r="BL389" t="str">
        <f t="shared" si="392"/>
        <v>NE00</v>
      </c>
      <c r="BM389" t="str">
        <f t="shared" si="393"/>
        <v>１工工務Ｇ</v>
      </c>
      <c r="BN389" t="str">
        <f t="shared" ref="BN389:BN452" si="401">"46548"</f>
        <v>46548</v>
      </c>
      <c r="BO389" t="str">
        <f t="shared" ref="BO389:BO452" si="402">"長畑　玲奈"</f>
        <v>長畑　玲奈</v>
      </c>
    </row>
    <row r="390" spans="1:67">
      <c r="A390" t="s">
        <v>472</v>
      </c>
      <c r="B390" t="str">
        <f>""</f>
        <v/>
      </c>
      <c r="C390" t="str">
        <f>""</f>
        <v/>
      </c>
      <c r="D390" t="str">
        <f t="shared" si="394"/>
        <v>SHIM</v>
      </c>
      <c r="E390" t="str">
        <f t="shared" si="382"/>
        <v>1Y</v>
      </c>
      <c r="F390" t="str">
        <f t="shared" si="383"/>
        <v>第１工場</v>
      </c>
      <c r="G390" t="str">
        <f t="shared" si="384"/>
        <v>手配</v>
      </c>
      <c r="H390" t="str">
        <f t="shared" si="385"/>
        <v>Ｐ</v>
      </c>
      <c r="I390" t="str">
        <f t="shared" si="370"/>
        <v>6454</v>
      </c>
      <c r="J390" t="str">
        <f t="shared" si="371"/>
        <v>（株）ムロコーポレーション</v>
      </c>
      <c r="K390" t="str">
        <f t="shared" si="368"/>
        <v>01</v>
      </c>
      <c r="L390" t="str">
        <f>""</f>
        <v/>
      </c>
      <c r="M390" t="str">
        <f t="shared" si="365"/>
        <v>――</v>
      </c>
      <c r="N390" t="str">
        <f t="shared" si="365"/>
        <v>――</v>
      </c>
      <c r="O390" t="str">
        <f t="shared" si="386"/>
        <v>Ｍ</v>
      </c>
      <c r="P390" t="str">
        <f t="shared" si="387"/>
        <v>01</v>
      </c>
      <c r="Q390" t="str">
        <f t="shared" si="388"/>
        <v>第１</v>
      </c>
      <c r="R390" t="str">
        <f t="shared" si="389"/>
        <v>1Y</v>
      </c>
      <c r="S390" t="str">
        <f t="shared" si="390"/>
        <v>安城第１工場</v>
      </c>
      <c r="T390" t="str">
        <f t="shared" si="391"/>
        <v>直接</v>
      </c>
      <c r="U390" t="str">
        <f>""</f>
        <v/>
      </c>
      <c r="V390" t="str">
        <f>""</f>
        <v/>
      </c>
      <c r="W390" t="str">
        <f>""</f>
        <v/>
      </c>
      <c r="X390">
        <v>1</v>
      </c>
      <c r="Y390">
        <v>1</v>
      </c>
      <c r="Z390">
        <v>0.73</v>
      </c>
      <c r="AA390">
        <v>0.93</v>
      </c>
      <c r="AB390">
        <v>3</v>
      </c>
      <c r="AC390">
        <v>0.93</v>
      </c>
      <c r="AD390">
        <v>0.93</v>
      </c>
      <c r="AE390">
        <v>1.1000000000000001</v>
      </c>
      <c r="AF390">
        <v>0.5</v>
      </c>
      <c r="AG390" t="str">
        <f t="shared" si="372"/>
        <v>205</v>
      </c>
      <c r="AH390" t="str">
        <f t="shared" si="373"/>
        <v>（株）ムロコーポレーション</v>
      </c>
      <c r="AI390" t="str">
        <f>"072"</f>
        <v>072</v>
      </c>
      <c r="AJ390" t="str">
        <f>""</f>
        <v/>
      </c>
      <c r="AK390" t="str">
        <f>""</f>
        <v/>
      </c>
      <c r="AL390" t="str">
        <f t="shared" si="395"/>
        <v>0370</v>
      </c>
      <c r="AM390" t="str">
        <f t="shared" si="396"/>
        <v>ｼﾑ</v>
      </c>
      <c r="AN390" t="str">
        <f t="shared" si="374"/>
        <v>012</v>
      </c>
      <c r="AO390" t="str">
        <f t="shared" si="375"/>
        <v>TP-131 ﾊﾝﾖｳ</v>
      </c>
      <c r="AP390">
        <v>100</v>
      </c>
      <c r="AQ390" t="str">
        <f>""</f>
        <v/>
      </c>
      <c r="AR390" t="str">
        <f>""</f>
        <v/>
      </c>
      <c r="AS390" t="str">
        <f>""</f>
        <v/>
      </c>
      <c r="AT390" t="str">
        <f t="shared" si="376"/>
        <v>00</v>
      </c>
      <c r="AU390">
        <v>0.5</v>
      </c>
      <c r="AV390" t="str">
        <f>""</f>
        <v/>
      </c>
      <c r="AW390" t="str">
        <f t="shared" si="397"/>
        <v>06</v>
      </c>
      <c r="AX390" t="str">
        <f t="shared" si="398"/>
        <v>計画</v>
      </c>
      <c r="AY390" t="str">
        <f t="shared" si="399"/>
        <v>02</v>
      </c>
      <c r="AZ390" t="str">
        <f t="shared" si="400"/>
        <v>計画・２社</v>
      </c>
      <c r="BA390" t="str">
        <f>""</f>
        <v/>
      </c>
      <c r="BB390" t="str">
        <f t="shared" si="377"/>
        <v>ＴＰ１３１フタナシ</v>
      </c>
      <c r="BC390" t="str">
        <f t="shared" si="378"/>
        <v xml:space="preserve"> 335.000</v>
      </c>
      <c r="BD390" t="str">
        <f t="shared" si="379"/>
        <v xml:space="preserve"> 168.000</v>
      </c>
      <c r="BE390" t="str">
        <f t="shared" si="380"/>
        <v xml:space="preserve"> 103.000</v>
      </c>
      <c r="BF390" t="str">
        <f t="shared" si="381"/>
        <v xml:space="preserve">   0.006</v>
      </c>
      <c r="BG390" t="str">
        <f t="shared" si="369"/>
        <v xml:space="preserve">   4.100</v>
      </c>
      <c r="BH390" t="str">
        <f t="shared" si="364"/>
        <v>しない</v>
      </c>
      <c r="BI390" t="str">
        <f>""</f>
        <v/>
      </c>
      <c r="BJ390" t="str">
        <f t="shared" si="362"/>
        <v>MASTER01</v>
      </c>
      <c r="BK390" t="str">
        <f t="shared" si="367"/>
        <v>2023/01/17</v>
      </c>
      <c r="BL390" t="str">
        <f t="shared" si="392"/>
        <v>NE00</v>
      </c>
      <c r="BM390" t="str">
        <f t="shared" si="393"/>
        <v>１工工務Ｇ</v>
      </c>
      <c r="BN390" t="str">
        <f t="shared" si="401"/>
        <v>46548</v>
      </c>
      <c r="BO390" t="str">
        <f t="shared" si="402"/>
        <v>長畑　玲奈</v>
      </c>
    </row>
    <row r="391" spans="1:67">
      <c r="A391" t="s">
        <v>473</v>
      </c>
      <c r="B391" t="str">
        <f>""</f>
        <v/>
      </c>
      <c r="C391" t="str">
        <f>""</f>
        <v/>
      </c>
      <c r="D391" t="str">
        <f t="shared" si="394"/>
        <v>SHIM</v>
      </c>
      <c r="E391" t="str">
        <f t="shared" si="382"/>
        <v>1Y</v>
      </c>
      <c r="F391" t="str">
        <f t="shared" si="383"/>
        <v>第１工場</v>
      </c>
      <c r="G391" t="str">
        <f t="shared" si="384"/>
        <v>手配</v>
      </c>
      <c r="H391" t="str">
        <f t="shared" si="385"/>
        <v>Ｐ</v>
      </c>
      <c r="I391" t="str">
        <f t="shared" si="370"/>
        <v>6454</v>
      </c>
      <c r="J391" t="str">
        <f t="shared" si="371"/>
        <v>（株）ムロコーポレーション</v>
      </c>
      <c r="K391" t="str">
        <f t="shared" si="368"/>
        <v>01</v>
      </c>
      <c r="L391" t="str">
        <f>""</f>
        <v/>
      </c>
      <c r="M391" t="str">
        <f t="shared" si="365"/>
        <v>――</v>
      </c>
      <c r="N391" t="str">
        <f t="shared" si="365"/>
        <v>――</v>
      </c>
      <c r="O391" t="str">
        <f t="shared" si="386"/>
        <v>Ｍ</v>
      </c>
      <c r="P391" t="str">
        <f t="shared" si="387"/>
        <v>01</v>
      </c>
      <c r="Q391" t="str">
        <f t="shared" si="388"/>
        <v>第１</v>
      </c>
      <c r="R391" t="str">
        <f t="shared" si="389"/>
        <v>1Y</v>
      </c>
      <c r="S391" t="str">
        <f t="shared" si="390"/>
        <v>安城第１工場</v>
      </c>
      <c r="T391" t="str">
        <f t="shared" si="391"/>
        <v>直接</v>
      </c>
      <c r="U391" t="str">
        <f>""</f>
        <v/>
      </c>
      <c r="V391" t="str">
        <f>""</f>
        <v/>
      </c>
      <c r="W391" t="str">
        <f>""</f>
        <v/>
      </c>
      <c r="X391">
        <v>1</v>
      </c>
      <c r="Y391">
        <v>1</v>
      </c>
      <c r="Z391">
        <v>0.73</v>
      </c>
      <c r="AA391">
        <v>0.93</v>
      </c>
      <c r="AB391">
        <v>3</v>
      </c>
      <c r="AC391">
        <v>0.93</v>
      </c>
      <c r="AD391">
        <v>0.93</v>
      </c>
      <c r="AE391">
        <v>1.1000000000000001</v>
      </c>
      <c r="AF391">
        <v>0.5</v>
      </c>
      <c r="AG391" t="str">
        <f t="shared" si="372"/>
        <v>205</v>
      </c>
      <c r="AH391" t="str">
        <f t="shared" si="373"/>
        <v>（株）ムロコーポレーション</v>
      </c>
      <c r="AI391" t="str">
        <f>"073"</f>
        <v>073</v>
      </c>
      <c r="AJ391" t="str">
        <f>""</f>
        <v/>
      </c>
      <c r="AK391" t="str">
        <f>""</f>
        <v/>
      </c>
      <c r="AL391" t="str">
        <f t="shared" si="395"/>
        <v>0370</v>
      </c>
      <c r="AM391" t="str">
        <f t="shared" si="396"/>
        <v>ｼﾑ</v>
      </c>
      <c r="AN391" t="str">
        <f t="shared" si="374"/>
        <v>012</v>
      </c>
      <c r="AO391" t="str">
        <f t="shared" si="375"/>
        <v>TP-131 ﾊﾝﾖｳ</v>
      </c>
      <c r="AP391">
        <v>100</v>
      </c>
      <c r="AQ391" t="str">
        <f>""</f>
        <v/>
      </c>
      <c r="AR391" t="str">
        <f>""</f>
        <v/>
      </c>
      <c r="AS391" t="str">
        <f>""</f>
        <v/>
      </c>
      <c r="AT391" t="str">
        <f t="shared" si="376"/>
        <v>00</v>
      </c>
      <c r="AU391">
        <v>0.5</v>
      </c>
      <c r="AV391" t="str">
        <f>""</f>
        <v/>
      </c>
      <c r="AW391" t="str">
        <f t="shared" si="397"/>
        <v>06</v>
      </c>
      <c r="AX391" t="str">
        <f t="shared" si="398"/>
        <v>計画</v>
      </c>
      <c r="AY391" t="str">
        <f t="shared" si="399"/>
        <v>02</v>
      </c>
      <c r="AZ391" t="str">
        <f t="shared" si="400"/>
        <v>計画・２社</v>
      </c>
      <c r="BA391" t="str">
        <f>""</f>
        <v/>
      </c>
      <c r="BB391" t="str">
        <f t="shared" si="377"/>
        <v>ＴＰ１３１フタナシ</v>
      </c>
      <c r="BC391" t="str">
        <f t="shared" si="378"/>
        <v xml:space="preserve"> 335.000</v>
      </c>
      <c r="BD391" t="str">
        <f t="shared" si="379"/>
        <v xml:space="preserve"> 168.000</v>
      </c>
      <c r="BE391" t="str">
        <f t="shared" si="380"/>
        <v xml:space="preserve"> 103.000</v>
      </c>
      <c r="BF391" t="str">
        <f t="shared" si="381"/>
        <v xml:space="preserve">   0.006</v>
      </c>
      <c r="BG391" t="str">
        <f t="shared" si="369"/>
        <v xml:space="preserve">   4.100</v>
      </c>
      <c r="BH391" t="str">
        <f t="shared" si="364"/>
        <v>しない</v>
      </c>
      <c r="BI391" t="str">
        <f>""</f>
        <v/>
      </c>
      <c r="BJ391" t="str">
        <f t="shared" si="362"/>
        <v>MASTER01</v>
      </c>
      <c r="BK391" t="str">
        <f t="shared" si="367"/>
        <v>2023/01/17</v>
      </c>
      <c r="BL391" t="str">
        <f t="shared" si="392"/>
        <v>NE00</v>
      </c>
      <c r="BM391" t="str">
        <f t="shared" si="393"/>
        <v>１工工務Ｇ</v>
      </c>
      <c r="BN391" t="str">
        <f t="shared" si="401"/>
        <v>46548</v>
      </c>
      <c r="BO391" t="str">
        <f t="shared" si="402"/>
        <v>長畑　玲奈</v>
      </c>
    </row>
    <row r="392" spans="1:67">
      <c r="A392" t="s">
        <v>474</v>
      </c>
      <c r="B392" t="str">
        <f>""</f>
        <v/>
      </c>
      <c r="C392" t="str">
        <f>""</f>
        <v/>
      </c>
      <c r="D392" t="str">
        <f t="shared" si="394"/>
        <v>SHIM</v>
      </c>
      <c r="E392" t="str">
        <f t="shared" si="382"/>
        <v>1Y</v>
      </c>
      <c r="F392" t="str">
        <f t="shared" si="383"/>
        <v>第１工場</v>
      </c>
      <c r="G392" t="str">
        <f t="shared" si="384"/>
        <v>手配</v>
      </c>
      <c r="H392" t="str">
        <f t="shared" si="385"/>
        <v>Ｐ</v>
      </c>
      <c r="I392" t="str">
        <f t="shared" si="370"/>
        <v>6454</v>
      </c>
      <c r="J392" t="str">
        <f t="shared" si="371"/>
        <v>（株）ムロコーポレーション</v>
      </c>
      <c r="K392" t="str">
        <f t="shared" si="368"/>
        <v>01</v>
      </c>
      <c r="L392" t="str">
        <f>""</f>
        <v/>
      </c>
      <c r="M392" t="str">
        <f t="shared" si="365"/>
        <v>――</v>
      </c>
      <c r="N392" t="str">
        <f t="shared" si="365"/>
        <v>――</v>
      </c>
      <c r="O392" t="str">
        <f t="shared" si="386"/>
        <v>Ｍ</v>
      </c>
      <c r="P392" t="str">
        <f t="shared" si="387"/>
        <v>01</v>
      </c>
      <c r="Q392" t="str">
        <f t="shared" si="388"/>
        <v>第１</v>
      </c>
      <c r="R392" t="str">
        <f t="shared" si="389"/>
        <v>1Y</v>
      </c>
      <c r="S392" t="str">
        <f t="shared" si="390"/>
        <v>安城第１工場</v>
      </c>
      <c r="T392" t="str">
        <f t="shared" si="391"/>
        <v>直接</v>
      </c>
      <c r="U392" t="str">
        <f>""</f>
        <v/>
      </c>
      <c r="V392" t="str">
        <f>""</f>
        <v/>
      </c>
      <c r="W392" t="str">
        <f>""</f>
        <v/>
      </c>
      <c r="X392">
        <v>1</v>
      </c>
      <c r="Y392">
        <v>1</v>
      </c>
      <c r="Z392">
        <v>0.73</v>
      </c>
      <c r="AA392">
        <v>0.93</v>
      </c>
      <c r="AB392">
        <v>3</v>
      </c>
      <c r="AC392">
        <v>0.93</v>
      </c>
      <c r="AD392">
        <v>0.93</v>
      </c>
      <c r="AE392">
        <v>1.1000000000000001</v>
      </c>
      <c r="AF392">
        <v>0.5</v>
      </c>
      <c r="AG392" t="str">
        <f t="shared" si="372"/>
        <v>205</v>
      </c>
      <c r="AH392" t="str">
        <f t="shared" si="373"/>
        <v>（株）ムロコーポレーション</v>
      </c>
      <c r="AI392" t="str">
        <f>"074"</f>
        <v>074</v>
      </c>
      <c r="AJ392" t="str">
        <f>""</f>
        <v/>
      </c>
      <c r="AK392" t="str">
        <f>""</f>
        <v/>
      </c>
      <c r="AL392" t="str">
        <f t="shared" si="395"/>
        <v>0370</v>
      </c>
      <c r="AM392" t="str">
        <f t="shared" si="396"/>
        <v>ｼﾑ</v>
      </c>
      <c r="AN392" t="str">
        <f t="shared" si="374"/>
        <v>012</v>
      </c>
      <c r="AO392" t="str">
        <f t="shared" si="375"/>
        <v>TP-131 ﾊﾝﾖｳ</v>
      </c>
      <c r="AP392">
        <v>100</v>
      </c>
      <c r="AQ392" t="str">
        <f>""</f>
        <v/>
      </c>
      <c r="AR392" t="str">
        <f>""</f>
        <v/>
      </c>
      <c r="AS392" t="str">
        <f>""</f>
        <v/>
      </c>
      <c r="AT392" t="str">
        <f t="shared" si="376"/>
        <v>00</v>
      </c>
      <c r="AU392">
        <v>0.5</v>
      </c>
      <c r="AV392" t="str">
        <f>""</f>
        <v/>
      </c>
      <c r="AW392" t="str">
        <f t="shared" si="397"/>
        <v>06</v>
      </c>
      <c r="AX392" t="str">
        <f t="shared" si="398"/>
        <v>計画</v>
      </c>
      <c r="AY392" t="str">
        <f t="shared" si="399"/>
        <v>02</v>
      </c>
      <c r="AZ392" t="str">
        <f t="shared" si="400"/>
        <v>計画・２社</v>
      </c>
      <c r="BA392" t="str">
        <f>""</f>
        <v/>
      </c>
      <c r="BB392" t="str">
        <f t="shared" si="377"/>
        <v>ＴＰ１３１フタナシ</v>
      </c>
      <c r="BC392" t="str">
        <f t="shared" si="378"/>
        <v xml:space="preserve"> 335.000</v>
      </c>
      <c r="BD392" t="str">
        <f t="shared" si="379"/>
        <v xml:space="preserve"> 168.000</v>
      </c>
      <c r="BE392" t="str">
        <f t="shared" si="380"/>
        <v xml:space="preserve"> 103.000</v>
      </c>
      <c r="BF392" t="str">
        <f t="shared" si="381"/>
        <v xml:space="preserve">   0.006</v>
      </c>
      <c r="BG392" t="str">
        <f t="shared" si="369"/>
        <v xml:space="preserve">   4.100</v>
      </c>
      <c r="BH392" t="str">
        <f t="shared" si="364"/>
        <v>しない</v>
      </c>
      <c r="BI392" t="str">
        <f>""</f>
        <v/>
      </c>
      <c r="BJ392" t="str">
        <f t="shared" si="362"/>
        <v>MASTER01</v>
      </c>
      <c r="BK392" t="str">
        <f t="shared" si="367"/>
        <v>2023/01/17</v>
      </c>
      <c r="BL392" t="str">
        <f t="shared" si="392"/>
        <v>NE00</v>
      </c>
      <c r="BM392" t="str">
        <f t="shared" si="393"/>
        <v>１工工務Ｇ</v>
      </c>
      <c r="BN392" t="str">
        <f t="shared" si="401"/>
        <v>46548</v>
      </c>
      <c r="BO392" t="str">
        <f t="shared" si="402"/>
        <v>長畑　玲奈</v>
      </c>
    </row>
    <row r="393" spans="1:67">
      <c r="A393" t="s">
        <v>475</v>
      </c>
      <c r="B393" t="str">
        <f>""</f>
        <v/>
      </c>
      <c r="C393" t="str">
        <f>""</f>
        <v/>
      </c>
      <c r="D393" t="str">
        <f t="shared" si="394"/>
        <v>SHIM</v>
      </c>
      <c r="E393" t="str">
        <f t="shared" si="382"/>
        <v>1Y</v>
      </c>
      <c r="F393" t="str">
        <f t="shared" si="383"/>
        <v>第１工場</v>
      </c>
      <c r="G393" t="str">
        <f t="shared" si="384"/>
        <v>手配</v>
      </c>
      <c r="H393" t="str">
        <f t="shared" si="385"/>
        <v>Ｐ</v>
      </c>
      <c r="I393" t="str">
        <f t="shared" si="370"/>
        <v>6454</v>
      </c>
      <c r="J393" t="str">
        <f t="shared" si="371"/>
        <v>（株）ムロコーポレーション</v>
      </c>
      <c r="K393" t="str">
        <f t="shared" si="368"/>
        <v>01</v>
      </c>
      <c r="L393" t="str">
        <f>""</f>
        <v/>
      </c>
      <c r="M393" t="str">
        <f t="shared" si="365"/>
        <v>――</v>
      </c>
      <c r="N393" t="str">
        <f t="shared" si="365"/>
        <v>――</v>
      </c>
      <c r="O393" t="str">
        <f t="shared" si="386"/>
        <v>Ｍ</v>
      </c>
      <c r="P393" t="str">
        <f t="shared" si="387"/>
        <v>01</v>
      </c>
      <c r="Q393" t="str">
        <f t="shared" si="388"/>
        <v>第１</v>
      </c>
      <c r="R393" t="str">
        <f t="shared" si="389"/>
        <v>1Y</v>
      </c>
      <c r="S393" t="str">
        <f t="shared" si="390"/>
        <v>安城第１工場</v>
      </c>
      <c r="T393" t="str">
        <f t="shared" si="391"/>
        <v>直接</v>
      </c>
      <c r="U393" t="str">
        <f>""</f>
        <v/>
      </c>
      <c r="V393" t="str">
        <f>""</f>
        <v/>
      </c>
      <c r="W393" t="str">
        <f>""</f>
        <v/>
      </c>
      <c r="X393">
        <v>1</v>
      </c>
      <c r="Y393">
        <v>1</v>
      </c>
      <c r="Z393">
        <v>0.73</v>
      </c>
      <c r="AA393">
        <v>0.93</v>
      </c>
      <c r="AB393">
        <v>3</v>
      </c>
      <c r="AC393">
        <v>0.93</v>
      </c>
      <c r="AD393">
        <v>0.93</v>
      </c>
      <c r="AE393">
        <v>1.1000000000000001</v>
      </c>
      <c r="AF393">
        <v>0.5</v>
      </c>
      <c r="AG393" t="str">
        <f t="shared" si="372"/>
        <v>205</v>
      </c>
      <c r="AH393" t="str">
        <f t="shared" si="373"/>
        <v>（株）ムロコーポレーション</v>
      </c>
      <c r="AI393" t="str">
        <f>"075"</f>
        <v>075</v>
      </c>
      <c r="AJ393" t="str">
        <f>""</f>
        <v/>
      </c>
      <c r="AK393" t="str">
        <f>""</f>
        <v/>
      </c>
      <c r="AL393" t="str">
        <f t="shared" si="395"/>
        <v>0370</v>
      </c>
      <c r="AM393" t="str">
        <f t="shared" si="396"/>
        <v>ｼﾑ</v>
      </c>
      <c r="AN393" t="str">
        <f t="shared" si="374"/>
        <v>012</v>
      </c>
      <c r="AO393" t="str">
        <f t="shared" si="375"/>
        <v>TP-131 ﾊﾝﾖｳ</v>
      </c>
      <c r="AP393">
        <v>100</v>
      </c>
      <c r="AQ393" t="str">
        <f>""</f>
        <v/>
      </c>
      <c r="AR393" t="str">
        <f>""</f>
        <v/>
      </c>
      <c r="AS393" t="str">
        <f>""</f>
        <v/>
      </c>
      <c r="AT393" t="str">
        <f t="shared" si="376"/>
        <v>00</v>
      </c>
      <c r="AU393">
        <v>0.5</v>
      </c>
      <c r="AV393" t="str">
        <f>""</f>
        <v/>
      </c>
      <c r="AW393" t="str">
        <f t="shared" si="397"/>
        <v>06</v>
      </c>
      <c r="AX393" t="str">
        <f t="shared" si="398"/>
        <v>計画</v>
      </c>
      <c r="AY393" t="str">
        <f t="shared" si="399"/>
        <v>02</v>
      </c>
      <c r="AZ393" t="str">
        <f t="shared" si="400"/>
        <v>計画・２社</v>
      </c>
      <c r="BA393" t="str">
        <f>""</f>
        <v/>
      </c>
      <c r="BB393" t="str">
        <f t="shared" si="377"/>
        <v>ＴＰ１３１フタナシ</v>
      </c>
      <c r="BC393" t="str">
        <f t="shared" si="378"/>
        <v xml:space="preserve"> 335.000</v>
      </c>
      <c r="BD393" t="str">
        <f t="shared" si="379"/>
        <v xml:space="preserve"> 168.000</v>
      </c>
      <c r="BE393" t="str">
        <f t="shared" si="380"/>
        <v xml:space="preserve"> 103.000</v>
      </c>
      <c r="BF393" t="str">
        <f t="shared" si="381"/>
        <v xml:space="preserve">   0.006</v>
      </c>
      <c r="BG393" t="str">
        <f t="shared" si="369"/>
        <v xml:space="preserve">   4.100</v>
      </c>
      <c r="BH393" t="str">
        <f t="shared" si="364"/>
        <v>しない</v>
      </c>
      <c r="BI393" t="str">
        <f>""</f>
        <v/>
      </c>
      <c r="BJ393" t="str">
        <f t="shared" si="362"/>
        <v>MASTER01</v>
      </c>
      <c r="BK393" t="str">
        <f t="shared" si="367"/>
        <v>2023/01/17</v>
      </c>
      <c r="BL393" t="str">
        <f t="shared" si="392"/>
        <v>NE00</v>
      </c>
      <c r="BM393" t="str">
        <f t="shared" si="393"/>
        <v>１工工務Ｇ</v>
      </c>
      <c r="BN393" t="str">
        <f t="shared" si="401"/>
        <v>46548</v>
      </c>
      <c r="BO393" t="str">
        <f t="shared" si="402"/>
        <v>長畑　玲奈</v>
      </c>
    </row>
    <row r="394" spans="1:67">
      <c r="A394" t="s">
        <v>476</v>
      </c>
      <c r="B394" t="str">
        <f>""</f>
        <v/>
      </c>
      <c r="C394" t="str">
        <f>""</f>
        <v/>
      </c>
      <c r="D394" t="str">
        <f t="shared" si="394"/>
        <v>SHIM</v>
      </c>
      <c r="E394" t="str">
        <f t="shared" si="382"/>
        <v>1Y</v>
      </c>
      <c r="F394" t="str">
        <f t="shared" si="383"/>
        <v>第１工場</v>
      </c>
      <c r="G394" t="str">
        <f t="shared" si="384"/>
        <v>手配</v>
      </c>
      <c r="H394" t="str">
        <f t="shared" si="385"/>
        <v>Ｐ</v>
      </c>
      <c r="I394" t="str">
        <f t="shared" si="370"/>
        <v>6454</v>
      </c>
      <c r="J394" t="str">
        <f t="shared" si="371"/>
        <v>（株）ムロコーポレーション</v>
      </c>
      <c r="K394" t="str">
        <f t="shared" si="368"/>
        <v>01</v>
      </c>
      <c r="L394" t="str">
        <f>""</f>
        <v/>
      </c>
      <c r="M394" t="str">
        <f t="shared" si="365"/>
        <v>――</v>
      </c>
      <c r="N394" t="str">
        <f t="shared" si="365"/>
        <v>――</v>
      </c>
      <c r="O394" t="str">
        <f t="shared" si="386"/>
        <v>Ｍ</v>
      </c>
      <c r="P394" t="str">
        <f t="shared" si="387"/>
        <v>01</v>
      </c>
      <c r="Q394" t="str">
        <f t="shared" si="388"/>
        <v>第１</v>
      </c>
      <c r="R394" t="str">
        <f t="shared" si="389"/>
        <v>1Y</v>
      </c>
      <c r="S394" t="str">
        <f t="shared" si="390"/>
        <v>安城第１工場</v>
      </c>
      <c r="T394" t="str">
        <f t="shared" si="391"/>
        <v>直接</v>
      </c>
      <c r="U394" t="str">
        <f>""</f>
        <v/>
      </c>
      <c r="V394" t="str">
        <f>""</f>
        <v/>
      </c>
      <c r="W394" t="str">
        <f>""</f>
        <v/>
      </c>
      <c r="X394">
        <v>1</v>
      </c>
      <c r="Y394">
        <v>1</v>
      </c>
      <c r="Z394">
        <v>0.73</v>
      </c>
      <c r="AA394">
        <v>0.93</v>
      </c>
      <c r="AB394">
        <v>3</v>
      </c>
      <c r="AC394">
        <v>0.93</v>
      </c>
      <c r="AD394">
        <v>0.93</v>
      </c>
      <c r="AE394">
        <v>1.1000000000000001</v>
      </c>
      <c r="AF394">
        <v>0.5</v>
      </c>
      <c r="AG394" t="str">
        <f t="shared" si="372"/>
        <v>205</v>
      </c>
      <c r="AH394" t="str">
        <f t="shared" si="373"/>
        <v>（株）ムロコーポレーション</v>
      </c>
      <c r="AI394" t="str">
        <f>"076"</f>
        <v>076</v>
      </c>
      <c r="AJ394" t="str">
        <f>""</f>
        <v/>
      </c>
      <c r="AK394" t="str">
        <f>""</f>
        <v/>
      </c>
      <c r="AL394" t="str">
        <f t="shared" si="395"/>
        <v>0370</v>
      </c>
      <c r="AM394" t="str">
        <f t="shared" si="396"/>
        <v>ｼﾑ</v>
      </c>
      <c r="AN394" t="str">
        <f t="shared" si="374"/>
        <v>012</v>
      </c>
      <c r="AO394" t="str">
        <f t="shared" si="375"/>
        <v>TP-131 ﾊﾝﾖｳ</v>
      </c>
      <c r="AP394">
        <v>100</v>
      </c>
      <c r="AQ394" t="str">
        <f>""</f>
        <v/>
      </c>
      <c r="AR394" t="str">
        <f>""</f>
        <v/>
      </c>
      <c r="AS394" t="str">
        <f>""</f>
        <v/>
      </c>
      <c r="AT394" t="str">
        <f t="shared" si="376"/>
        <v>00</v>
      </c>
      <c r="AU394">
        <v>0.5</v>
      </c>
      <c r="AV394" t="str">
        <f>""</f>
        <v/>
      </c>
      <c r="AW394" t="str">
        <f t="shared" si="397"/>
        <v>06</v>
      </c>
      <c r="AX394" t="str">
        <f t="shared" si="398"/>
        <v>計画</v>
      </c>
      <c r="AY394" t="str">
        <f t="shared" si="399"/>
        <v>02</v>
      </c>
      <c r="AZ394" t="str">
        <f t="shared" si="400"/>
        <v>計画・２社</v>
      </c>
      <c r="BA394" t="str">
        <f>""</f>
        <v/>
      </c>
      <c r="BB394" t="str">
        <f t="shared" si="377"/>
        <v>ＴＰ１３１フタナシ</v>
      </c>
      <c r="BC394" t="str">
        <f t="shared" si="378"/>
        <v xml:space="preserve"> 335.000</v>
      </c>
      <c r="BD394" t="str">
        <f t="shared" si="379"/>
        <v xml:space="preserve"> 168.000</v>
      </c>
      <c r="BE394" t="str">
        <f t="shared" si="380"/>
        <v xml:space="preserve"> 103.000</v>
      </c>
      <c r="BF394" t="str">
        <f t="shared" si="381"/>
        <v xml:space="preserve">   0.006</v>
      </c>
      <c r="BG394" t="str">
        <f t="shared" si="369"/>
        <v xml:space="preserve">   4.100</v>
      </c>
      <c r="BH394" t="str">
        <f t="shared" si="364"/>
        <v>しない</v>
      </c>
      <c r="BI394" t="str">
        <f>""</f>
        <v/>
      </c>
      <c r="BJ394" t="str">
        <f t="shared" si="362"/>
        <v>MASTER01</v>
      </c>
      <c r="BK394" t="str">
        <f t="shared" si="367"/>
        <v>2023/01/17</v>
      </c>
      <c r="BL394" t="str">
        <f t="shared" si="392"/>
        <v>NE00</v>
      </c>
      <c r="BM394" t="str">
        <f t="shared" si="393"/>
        <v>１工工務Ｇ</v>
      </c>
      <c r="BN394" t="str">
        <f t="shared" si="401"/>
        <v>46548</v>
      </c>
      <c r="BO394" t="str">
        <f t="shared" si="402"/>
        <v>長畑　玲奈</v>
      </c>
    </row>
    <row r="395" spans="1:67">
      <c r="A395" t="s">
        <v>477</v>
      </c>
      <c r="B395" t="str">
        <f>""</f>
        <v/>
      </c>
      <c r="C395" t="str">
        <f>""</f>
        <v/>
      </c>
      <c r="D395" t="str">
        <f t="shared" si="394"/>
        <v>SHIM</v>
      </c>
      <c r="E395" t="str">
        <f t="shared" si="382"/>
        <v>1Y</v>
      </c>
      <c r="F395" t="str">
        <f t="shared" si="383"/>
        <v>第１工場</v>
      </c>
      <c r="G395" t="str">
        <f t="shared" si="384"/>
        <v>手配</v>
      </c>
      <c r="H395" t="str">
        <f t="shared" si="385"/>
        <v>Ｐ</v>
      </c>
      <c r="I395" t="str">
        <f t="shared" si="370"/>
        <v>6454</v>
      </c>
      <c r="J395" t="str">
        <f t="shared" si="371"/>
        <v>（株）ムロコーポレーション</v>
      </c>
      <c r="K395" t="str">
        <f t="shared" si="368"/>
        <v>01</v>
      </c>
      <c r="L395" t="str">
        <f>""</f>
        <v/>
      </c>
      <c r="M395" t="str">
        <f t="shared" si="365"/>
        <v>――</v>
      </c>
      <c r="N395" t="str">
        <f t="shared" si="365"/>
        <v>――</v>
      </c>
      <c r="O395" t="str">
        <f t="shared" si="386"/>
        <v>Ｍ</v>
      </c>
      <c r="P395" t="str">
        <f t="shared" si="387"/>
        <v>01</v>
      </c>
      <c r="Q395" t="str">
        <f t="shared" si="388"/>
        <v>第１</v>
      </c>
      <c r="R395" t="str">
        <f t="shared" si="389"/>
        <v>1Y</v>
      </c>
      <c r="S395" t="str">
        <f t="shared" si="390"/>
        <v>安城第１工場</v>
      </c>
      <c r="T395" t="str">
        <f t="shared" si="391"/>
        <v>直接</v>
      </c>
      <c r="U395" t="str">
        <f>""</f>
        <v/>
      </c>
      <c r="V395" t="str">
        <f>""</f>
        <v/>
      </c>
      <c r="W395" t="str">
        <f>""</f>
        <v/>
      </c>
      <c r="X395">
        <v>1</v>
      </c>
      <c r="Y395">
        <v>1</v>
      </c>
      <c r="Z395">
        <v>0.73</v>
      </c>
      <c r="AA395">
        <v>0.93</v>
      </c>
      <c r="AB395">
        <v>3</v>
      </c>
      <c r="AC395">
        <v>0.93</v>
      </c>
      <c r="AD395">
        <v>0.93</v>
      </c>
      <c r="AE395">
        <v>1.1000000000000001</v>
      </c>
      <c r="AF395">
        <v>0.5</v>
      </c>
      <c r="AG395" t="str">
        <f t="shared" si="372"/>
        <v>205</v>
      </c>
      <c r="AH395" t="str">
        <f t="shared" si="373"/>
        <v>（株）ムロコーポレーション</v>
      </c>
      <c r="AI395" t="str">
        <f>"077"</f>
        <v>077</v>
      </c>
      <c r="AJ395" t="str">
        <f>""</f>
        <v/>
      </c>
      <c r="AK395" t="str">
        <f>""</f>
        <v/>
      </c>
      <c r="AL395" t="str">
        <f t="shared" si="395"/>
        <v>0370</v>
      </c>
      <c r="AM395" t="str">
        <f t="shared" si="396"/>
        <v>ｼﾑ</v>
      </c>
      <c r="AN395" t="str">
        <f t="shared" si="374"/>
        <v>012</v>
      </c>
      <c r="AO395" t="str">
        <f t="shared" si="375"/>
        <v>TP-131 ﾊﾝﾖｳ</v>
      </c>
      <c r="AP395">
        <v>100</v>
      </c>
      <c r="AQ395" t="str">
        <f>""</f>
        <v/>
      </c>
      <c r="AR395" t="str">
        <f>""</f>
        <v/>
      </c>
      <c r="AS395" t="str">
        <f>""</f>
        <v/>
      </c>
      <c r="AT395" t="str">
        <f t="shared" si="376"/>
        <v>00</v>
      </c>
      <c r="AU395">
        <v>0.5</v>
      </c>
      <c r="AV395" t="str">
        <f>""</f>
        <v/>
      </c>
      <c r="AW395" t="str">
        <f t="shared" si="397"/>
        <v>06</v>
      </c>
      <c r="AX395" t="str">
        <f t="shared" si="398"/>
        <v>計画</v>
      </c>
      <c r="AY395" t="str">
        <f t="shared" si="399"/>
        <v>02</v>
      </c>
      <c r="AZ395" t="str">
        <f t="shared" si="400"/>
        <v>計画・２社</v>
      </c>
      <c r="BA395" t="str">
        <f>""</f>
        <v/>
      </c>
      <c r="BB395" t="str">
        <f t="shared" si="377"/>
        <v>ＴＰ１３１フタナシ</v>
      </c>
      <c r="BC395" t="str">
        <f t="shared" si="378"/>
        <v xml:space="preserve"> 335.000</v>
      </c>
      <c r="BD395" t="str">
        <f t="shared" si="379"/>
        <v xml:space="preserve"> 168.000</v>
      </c>
      <c r="BE395" t="str">
        <f t="shared" si="380"/>
        <v xml:space="preserve"> 103.000</v>
      </c>
      <c r="BF395" t="str">
        <f t="shared" si="381"/>
        <v xml:space="preserve">   0.006</v>
      </c>
      <c r="BG395" t="str">
        <f t="shared" si="369"/>
        <v xml:space="preserve">   4.100</v>
      </c>
      <c r="BH395" t="str">
        <f t="shared" si="364"/>
        <v>しない</v>
      </c>
      <c r="BI395" t="str">
        <f>""</f>
        <v/>
      </c>
      <c r="BJ395" t="str">
        <f t="shared" si="362"/>
        <v>MASTER01</v>
      </c>
      <c r="BK395" t="str">
        <f t="shared" si="367"/>
        <v>2023/01/17</v>
      </c>
      <c r="BL395" t="str">
        <f t="shared" si="392"/>
        <v>NE00</v>
      </c>
      <c r="BM395" t="str">
        <f t="shared" si="393"/>
        <v>１工工務Ｇ</v>
      </c>
      <c r="BN395" t="str">
        <f t="shared" si="401"/>
        <v>46548</v>
      </c>
      <c r="BO395" t="str">
        <f t="shared" si="402"/>
        <v>長畑　玲奈</v>
      </c>
    </row>
    <row r="396" spans="1:67">
      <c r="A396" t="s">
        <v>478</v>
      </c>
      <c r="B396" t="str">
        <f>""</f>
        <v/>
      </c>
      <c r="C396" t="str">
        <f>""</f>
        <v/>
      </c>
      <c r="D396" t="str">
        <f t="shared" si="394"/>
        <v>SHIM</v>
      </c>
      <c r="E396" t="str">
        <f t="shared" si="382"/>
        <v>1Y</v>
      </c>
      <c r="F396" t="str">
        <f t="shared" si="383"/>
        <v>第１工場</v>
      </c>
      <c r="G396" t="str">
        <f t="shared" si="384"/>
        <v>手配</v>
      </c>
      <c r="H396" t="str">
        <f t="shared" si="385"/>
        <v>Ｐ</v>
      </c>
      <c r="I396" t="str">
        <f t="shared" si="370"/>
        <v>6454</v>
      </c>
      <c r="J396" t="str">
        <f t="shared" si="371"/>
        <v>（株）ムロコーポレーション</v>
      </c>
      <c r="K396" t="str">
        <f t="shared" si="368"/>
        <v>01</v>
      </c>
      <c r="L396" t="str">
        <f>""</f>
        <v/>
      </c>
      <c r="M396" t="str">
        <f t="shared" si="365"/>
        <v>――</v>
      </c>
      <c r="N396" t="str">
        <f t="shared" si="365"/>
        <v>――</v>
      </c>
      <c r="O396" t="str">
        <f t="shared" si="386"/>
        <v>Ｍ</v>
      </c>
      <c r="P396" t="str">
        <f t="shared" si="387"/>
        <v>01</v>
      </c>
      <c r="Q396" t="str">
        <f t="shared" si="388"/>
        <v>第１</v>
      </c>
      <c r="R396" t="str">
        <f t="shared" si="389"/>
        <v>1Y</v>
      </c>
      <c r="S396" t="str">
        <f t="shared" si="390"/>
        <v>安城第１工場</v>
      </c>
      <c r="T396" t="str">
        <f t="shared" si="391"/>
        <v>直接</v>
      </c>
      <c r="U396" t="str">
        <f>""</f>
        <v/>
      </c>
      <c r="V396" t="str">
        <f>""</f>
        <v/>
      </c>
      <c r="W396" t="str">
        <f>""</f>
        <v/>
      </c>
      <c r="X396">
        <v>1</v>
      </c>
      <c r="Y396">
        <v>1</v>
      </c>
      <c r="Z396">
        <v>0.73</v>
      </c>
      <c r="AA396">
        <v>0.93</v>
      </c>
      <c r="AB396">
        <v>3</v>
      </c>
      <c r="AC396">
        <v>0.93</v>
      </c>
      <c r="AD396">
        <v>0.93</v>
      </c>
      <c r="AE396">
        <v>1.1000000000000001</v>
      </c>
      <c r="AF396">
        <v>0.5</v>
      </c>
      <c r="AG396" t="str">
        <f t="shared" si="372"/>
        <v>205</v>
      </c>
      <c r="AH396" t="str">
        <f t="shared" si="373"/>
        <v>（株）ムロコーポレーション</v>
      </c>
      <c r="AI396" t="str">
        <f>"078"</f>
        <v>078</v>
      </c>
      <c r="AJ396" t="str">
        <f>""</f>
        <v/>
      </c>
      <c r="AK396" t="str">
        <f>""</f>
        <v/>
      </c>
      <c r="AL396" t="str">
        <f t="shared" si="395"/>
        <v>0370</v>
      </c>
      <c r="AM396" t="str">
        <f t="shared" si="396"/>
        <v>ｼﾑ</v>
      </c>
      <c r="AN396" t="str">
        <f t="shared" si="374"/>
        <v>012</v>
      </c>
      <c r="AO396" t="str">
        <f t="shared" si="375"/>
        <v>TP-131 ﾊﾝﾖｳ</v>
      </c>
      <c r="AP396">
        <v>100</v>
      </c>
      <c r="AQ396" t="str">
        <f>""</f>
        <v/>
      </c>
      <c r="AR396" t="str">
        <f>""</f>
        <v/>
      </c>
      <c r="AS396" t="str">
        <f>""</f>
        <v/>
      </c>
      <c r="AT396" t="str">
        <f t="shared" si="376"/>
        <v>00</v>
      </c>
      <c r="AU396">
        <v>0.5</v>
      </c>
      <c r="AV396" t="str">
        <f>""</f>
        <v/>
      </c>
      <c r="AW396" t="str">
        <f t="shared" si="397"/>
        <v>06</v>
      </c>
      <c r="AX396" t="str">
        <f t="shared" si="398"/>
        <v>計画</v>
      </c>
      <c r="AY396" t="str">
        <f t="shared" si="399"/>
        <v>02</v>
      </c>
      <c r="AZ396" t="str">
        <f t="shared" si="400"/>
        <v>計画・２社</v>
      </c>
      <c r="BA396" t="str">
        <f>""</f>
        <v/>
      </c>
      <c r="BB396" t="str">
        <f t="shared" si="377"/>
        <v>ＴＰ１３１フタナシ</v>
      </c>
      <c r="BC396" t="str">
        <f t="shared" si="378"/>
        <v xml:space="preserve"> 335.000</v>
      </c>
      <c r="BD396" t="str">
        <f t="shared" si="379"/>
        <v xml:space="preserve"> 168.000</v>
      </c>
      <c r="BE396" t="str">
        <f t="shared" si="380"/>
        <v xml:space="preserve"> 103.000</v>
      </c>
      <c r="BF396" t="str">
        <f t="shared" si="381"/>
        <v xml:space="preserve">   0.006</v>
      </c>
      <c r="BG396" t="str">
        <f t="shared" si="369"/>
        <v xml:space="preserve">   4.100</v>
      </c>
      <c r="BH396" t="str">
        <f t="shared" si="364"/>
        <v>しない</v>
      </c>
      <c r="BI396" t="str">
        <f>""</f>
        <v/>
      </c>
      <c r="BJ396" t="str">
        <f t="shared" si="362"/>
        <v>MASTER01</v>
      </c>
      <c r="BK396" t="str">
        <f t="shared" si="367"/>
        <v>2023/01/17</v>
      </c>
      <c r="BL396" t="str">
        <f t="shared" si="392"/>
        <v>NE00</v>
      </c>
      <c r="BM396" t="str">
        <f t="shared" si="393"/>
        <v>１工工務Ｇ</v>
      </c>
      <c r="BN396" t="str">
        <f t="shared" si="401"/>
        <v>46548</v>
      </c>
      <c r="BO396" t="str">
        <f t="shared" si="402"/>
        <v>長畑　玲奈</v>
      </c>
    </row>
    <row r="397" spans="1:67">
      <c r="A397" t="s">
        <v>479</v>
      </c>
      <c r="B397" t="str">
        <f>""</f>
        <v/>
      </c>
      <c r="C397" t="str">
        <f>""</f>
        <v/>
      </c>
      <c r="D397" t="str">
        <f t="shared" si="394"/>
        <v>SHIM</v>
      </c>
      <c r="E397" t="str">
        <f t="shared" si="382"/>
        <v>1Y</v>
      </c>
      <c r="F397" t="str">
        <f t="shared" si="383"/>
        <v>第１工場</v>
      </c>
      <c r="G397" t="str">
        <f t="shared" si="384"/>
        <v>手配</v>
      </c>
      <c r="H397" t="str">
        <f t="shared" si="385"/>
        <v>Ｐ</v>
      </c>
      <c r="I397" t="str">
        <f t="shared" si="370"/>
        <v>6454</v>
      </c>
      <c r="J397" t="str">
        <f t="shared" si="371"/>
        <v>（株）ムロコーポレーション</v>
      </c>
      <c r="K397" t="str">
        <f t="shared" si="368"/>
        <v>01</v>
      </c>
      <c r="L397" t="str">
        <f>""</f>
        <v/>
      </c>
      <c r="M397" t="str">
        <f t="shared" si="365"/>
        <v>――</v>
      </c>
      <c r="N397" t="str">
        <f t="shared" si="365"/>
        <v>――</v>
      </c>
      <c r="O397" t="str">
        <f t="shared" si="386"/>
        <v>Ｍ</v>
      </c>
      <c r="P397" t="str">
        <f t="shared" si="387"/>
        <v>01</v>
      </c>
      <c r="Q397" t="str">
        <f t="shared" si="388"/>
        <v>第１</v>
      </c>
      <c r="R397" t="str">
        <f t="shared" si="389"/>
        <v>1Y</v>
      </c>
      <c r="S397" t="str">
        <f t="shared" si="390"/>
        <v>安城第１工場</v>
      </c>
      <c r="T397" t="str">
        <f t="shared" si="391"/>
        <v>直接</v>
      </c>
      <c r="U397" t="str">
        <f>""</f>
        <v/>
      </c>
      <c r="V397" t="str">
        <f>""</f>
        <v/>
      </c>
      <c r="W397" t="str">
        <f>""</f>
        <v/>
      </c>
      <c r="X397">
        <v>1</v>
      </c>
      <c r="Y397">
        <v>1</v>
      </c>
      <c r="Z397">
        <v>0.73</v>
      </c>
      <c r="AA397">
        <v>0.93</v>
      </c>
      <c r="AB397">
        <v>3</v>
      </c>
      <c r="AC397">
        <v>0.93</v>
      </c>
      <c r="AD397">
        <v>0.93</v>
      </c>
      <c r="AE397">
        <v>1.1000000000000001</v>
      </c>
      <c r="AF397">
        <v>0.5</v>
      </c>
      <c r="AG397" t="str">
        <f t="shared" si="372"/>
        <v>205</v>
      </c>
      <c r="AH397" t="str">
        <f t="shared" si="373"/>
        <v>（株）ムロコーポレーション</v>
      </c>
      <c r="AI397" t="str">
        <f>"079"</f>
        <v>079</v>
      </c>
      <c r="AJ397" t="str">
        <f>""</f>
        <v/>
      </c>
      <c r="AK397" t="str">
        <f>""</f>
        <v/>
      </c>
      <c r="AL397" t="str">
        <f t="shared" si="395"/>
        <v>0370</v>
      </c>
      <c r="AM397" t="str">
        <f t="shared" si="396"/>
        <v>ｼﾑ</v>
      </c>
      <c r="AN397" t="str">
        <f t="shared" si="374"/>
        <v>012</v>
      </c>
      <c r="AO397" t="str">
        <f t="shared" si="375"/>
        <v>TP-131 ﾊﾝﾖｳ</v>
      </c>
      <c r="AP397">
        <v>100</v>
      </c>
      <c r="AQ397" t="str">
        <f>""</f>
        <v/>
      </c>
      <c r="AR397" t="str">
        <f>""</f>
        <v/>
      </c>
      <c r="AS397" t="str">
        <f>""</f>
        <v/>
      </c>
      <c r="AT397" t="str">
        <f t="shared" si="376"/>
        <v>00</v>
      </c>
      <c r="AU397">
        <v>0.5</v>
      </c>
      <c r="AV397" t="str">
        <f>""</f>
        <v/>
      </c>
      <c r="AW397" t="str">
        <f t="shared" si="397"/>
        <v>06</v>
      </c>
      <c r="AX397" t="str">
        <f t="shared" si="398"/>
        <v>計画</v>
      </c>
      <c r="AY397" t="str">
        <f t="shared" si="399"/>
        <v>02</v>
      </c>
      <c r="AZ397" t="str">
        <f t="shared" si="400"/>
        <v>計画・２社</v>
      </c>
      <c r="BA397" t="str">
        <f>""</f>
        <v/>
      </c>
      <c r="BB397" t="str">
        <f t="shared" si="377"/>
        <v>ＴＰ１３１フタナシ</v>
      </c>
      <c r="BC397" t="str">
        <f t="shared" si="378"/>
        <v xml:space="preserve"> 335.000</v>
      </c>
      <c r="BD397" t="str">
        <f t="shared" si="379"/>
        <v xml:space="preserve"> 168.000</v>
      </c>
      <c r="BE397" t="str">
        <f t="shared" si="380"/>
        <v xml:space="preserve"> 103.000</v>
      </c>
      <c r="BF397" t="str">
        <f t="shared" si="381"/>
        <v xml:space="preserve">   0.006</v>
      </c>
      <c r="BG397" t="str">
        <f t="shared" si="369"/>
        <v xml:space="preserve">   4.100</v>
      </c>
      <c r="BH397" t="str">
        <f t="shared" si="364"/>
        <v>しない</v>
      </c>
      <c r="BI397" t="str">
        <f>""</f>
        <v/>
      </c>
      <c r="BJ397" t="str">
        <f t="shared" si="362"/>
        <v>MASTER01</v>
      </c>
      <c r="BK397" t="str">
        <f t="shared" si="367"/>
        <v>2023/01/17</v>
      </c>
      <c r="BL397" t="str">
        <f t="shared" si="392"/>
        <v>NE00</v>
      </c>
      <c r="BM397" t="str">
        <f t="shared" si="393"/>
        <v>１工工務Ｇ</v>
      </c>
      <c r="BN397" t="str">
        <f t="shared" si="401"/>
        <v>46548</v>
      </c>
      <c r="BO397" t="str">
        <f t="shared" si="402"/>
        <v>長畑　玲奈</v>
      </c>
    </row>
    <row r="398" spans="1:67">
      <c r="A398" t="s">
        <v>480</v>
      </c>
      <c r="B398" t="str">
        <f>""</f>
        <v/>
      </c>
      <c r="C398" t="str">
        <f>""</f>
        <v/>
      </c>
      <c r="D398" t="str">
        <f t="shared" si="394"/>
        <v>SHIM</v>
      </c>
      <c r="E398" t="str">
        <f t="shared" si="382"/>
        <v>1Y</v>
      </c>
      <c r="F398" t="str">
        <f t="shared" si="383"/>
        <v>第１工場</v>
      </c>
      <c r="G398" t="str">
        <f t="shared" si="384"/>
        <v>手配</v>
      </c>
      <c r="H398" t="str">
        <f t="shared" si="385"/>
        <v>Ｐ</v>
      </c>
      <c r="I398" t="str">
        <f t="shared" si="370"/>
        <v>6454</v>
      </c>
      <c r="J398" t="str">
        <f t="shared" si="371"/>
        <v>（株）ムロコーポレーション</v>
      </c>
      <c r="K398" t="str">
        <f t="shared" si="368"/>
        <v>01</v>
      </c>
      <c r="L398" t="str">
        <f>""</f>
        <v/>
      </c>
      <c r="M398" t="str">
        <f t="shared" si="365"/>
        <v>――</v>
      </c>
      <c r="N398" t="str">
        <f t="shared" si="365"/>
        <v>――</v>
      </c>
      <c r="O398" t="str">
        <f t="shared" si="386"/>
        <v>Ｍ</v>
      </c>
      <c r="P398" t="str">
        <f t="shared" si="387"/>
        <v>01</v>
      </c>
      <c r="Q398" t="str">
        <f t="shared" si="388"/>
        <v>第１</v>
      </c>
      <c r="R398" t="str">
        <f t="shared" si="389"/>
        <v>1Y</v>
      </c>
      <c r="S398" t="str">
        <f t="shared" si="390"/>
        <v>安城第１工場</v>
      </c>
      <c r="T398" t="str">
        <f t="shared" si="391"/>
        <v>直接</v>
      </c>
      <c r="U398" t="str">
        <f>""</f>
        <v/>
      </c>
      <c r="V398" t="str">
        <f>""</f>
        <v/>
      </c>
      <c r="W398" t="str">
        <f>""</f>
        <v/>
      </c>
      <c r="X398">
        <v>1</v>
      </c>
      <c r="Y398">
        <v>1</v>
      </c>
      <c r="Z398">
        <v>0.73</v>
      </c>
      <c r="AA398">
        <v>0.93</v>
      </c>
      <c r="AB398">
        <v>3</v>
      </c>
      <c r="AC398">
        <v>0.93</v>
      </c>
      <c r="AD398">
        <v>0.93</v>
      </c>
      <c r="AE398">
        <v>1.1000000000000001</v>
      </c>
      <c r="AF398">
        <v>0.5</v>
      </c>
      <c r="AG398" t="str">
        <f t="shared" si="372"/>
        <v>205</v>
      </c>
      <c r="AH398" t="str">
        <f t="shared" si="373"/>
        <v>（株）ムロコーポレーション</v>
      </c>
      <c r="AI398" t="str">
        <f>"080"</f>
        <v>080</v>
      </c>
      <c r="AJ398" t="str">
        <f>""</f>
        <v/>
      </c>
      <c r="AK398" t="str">
        <f>""</f>
        <v/>
      </c>
      <c r="AL398" t="str">
        <f t="shared" si="395"/>
        <v>0370</v>
      </c>
      <c r="AM398" t="str">
        <f t="shared" si="396"/>
        <v>ｼﾑ</v>
      </c>
      <c r="AN398" t="str">
        <f t="shared" si="374"/>
        <v>012</v>
      </c>
      <c r="AO398" t="str">
        <f t="shared" si="375"/>
        <v>TP-131 ﾊﾝﾖｳ</v>
      </c>
      <c r="AP398">
        <v>100</v>
      </c>
      <c r="AQ398" t="str">
        <f>""</f>
        <v/>
      </c>
      <c r="AR398" t="str">
        <f>""</f>
        <v/>
      </c>
      <c r="AS398" t="str">
        <f>""</f>
        <v/>
      </c>
      <c r="AT398" t="str">
        <f t="shared" si="376"/>
        <v>00</v>
      </c>
      <c r="AU398">
        <v>0.5</v>
      </c>
      <c r="AV398" t="str">
        <f>""</f>
        <v/>
      </c>
      <c r="AW398" t="str">
        <f t="shared" si="397"/>
        <v>06</v>
      </c>
      <c r="AX398" t="str">
        <f t="shared" si="398"/>
        <v>計画</v>
      </c>
      <c r="AY398" t="str">
        <f t="shared" si="399"/>
        <v>02</v>
      </c>
      <c r="AZ398" t="str">
        <f t="shared" si="400"/>
        <v>計画・２社</v>
      </c>
      <c r="BA398" t="str">
        <f>""</f>
        <v/>
      </c>
      <c r="BB398" t="str">
        <f t="shared" si="377"/>
        <v>ＴＰ１３１フタナシ</v>
      </c>
      <c r="BC398" t="str">
        <f t="shared" si="378"/>
        <v xml:space="preserve"> 335.000</v>
      </c>
      <c r="BD398" t="str">
        <f t="shared" si="379"/>
        <v xml:space="preserve"> 168.000</v>
      </c>
      <c r="BE398" t="str">
        <f t="shared" si="380"/>
        <v xml:space="preserve"> 103.000</v>
      </c>
      <c r="BF398" t="str">
        <f t="shared" si="381"/>
        <v xml:space="preserve">   0.006</v>
      </c>
      <c r="BG398" t="str">
        <f t="shared" si="369"/>
        <v xml:space="preserve">   4.100</v>
      </c>
      <c r="BH398" t="str">
        <f t="shared" si="364"/>
        <v>しない</v>
      </c>
      <c r="BI398" t="str">
        <f>""</f>
        <v/>
      </c>
      <c r="BJ398" t="str">
        <f t="shared" si="362"/>
        <v>MASTER01</v>
      </c>
      <c r="BK398" t="str">
        <f t="shared" si="367"/>
        <v>2023/01/17</v>
      </c>
      <c r="BL398" t="str">
        <f t="shared" si="392"/>
        <v>NE00</v>
      </c>
      <c r="BM398" t="str">
        <f t="shared" si="393"/>
        <v>１工工務Ｇ</v>
      </c>
      <c r="BN398" t="str">
        <f t="shared" si="401"/>
        <v>46548</v>
      </c>
      <c r="BO398" t="str">
        <f t="shared" si="402"/>
        <v>長畑　玲奈</v>
      </c>
    </row>
    <row r="399" spans="1:67">
      <c r="A399" t="s">
        <v>481</v>
      </c>
      <c r="B399" t="str">
        <f>""</f>
        <v/>
      </c>
      <c r="C399" t="str">
        <f>""</f>
        <v/>
      </c>
      <c r="D399" t="str">
        <f t="shared" si="394"/>
        <v>SHIM</v>
      </c>
      <c r="E399" t="str">
        <f t="shared" si="382"/>
        <v>1Y</v>
      </c>
      <c r="F399" t="str">
        <f t="shared" si="383"/>
        <v>第１工場</v>
      </c>
      <c r="G399" t="str">
        <f t="shared" si="384"/>
        <v>手配</v>
      </c>
      <c r="H399" t="str">
        <f t="shared" si="385"/>
        <v>Ｐ</v>
      </c>
      <c r="I399" t="str">
        <f t="shared" si="370"/>
        <v>6454</v>
      </c>
      <c r="J399" t="str">
        <f t="shared" si="371"/>
        <v>（株）ムロコーポレーション</v>
      </c>
      <c r="K399" t="str">
        <f t="shared" si="368"/>
        <v>01</v>
      </c>
      <c r="L399" t="str">
        <f>""</f>
        <v/>
      </c>
      <c r="M399" t="str">
        <f t="shared" si="365"/>
        <v>――</v>
      </c>
      <c r="N399" t="str">
        <f t="shared" si="365"/>
        <v>――</v>
      </c>
      <c r="O399" t="str">
        <f t="shared" si="386"/>
        <v>Ｍ</v>
      </c>
      <c r="P399" t="str">
        <f t="shared" si="387"/>
        <v>01</v>
      </c>
      <c r="Q399" t="str">
        <f t="shared" si="388"/>
        <v>第１</v>
      </c>
      <c r="R399" t="str">
        <f t="shared" si="389"/>
        <v>1Y</v>
      </c>
      <c r="S399" t="str">
        <f t="shared" si="390"/>
        <v>安城第１工場</v>
      </c>
      <c r="T399" t="str">
        <f t="shared" si="391"/>
        <v>直接</v>
      </c>
      <c r="U399" t="str">
        <f>""</f>
        <v/>
      </c>
      <c r="V399" t="str">
        <f>""</f>
        <v/>
      </c>
      <c r="W399" t="str">
        <f>""</f>
        <v/>
      </c>
      <c r="X399">
        <v>1</v>
      </c>
      <c r="Y399">
        <v>1</v>
      </c>
      <c r="Z399">
        <v>0.73</v>
      </c>
      <c r="AA399">
        <v>0.93</v>
      </c>
      <c r="AB399">
        <v>3</v>
      </c>
      <c r="AC399">
        <v>0.93</v>
      </c>
      <c r="AD399">
        <v>0.93</v>
      </c>
      <c r="AE399">
        <v>1.1000000000000001</v>
      </c>
      <c r="AF399">
        <v>0.5</v>
      </c>
      <c r="AG399" t="str">
        <f t="shared" si="372"/>
        <v>205</v>
      </c>
      <c r="AH399" t="str">
        <f t="shared" si="373"/>
        <v>（株）ムロコーポレーション</v>
      </c>
      <c r="AI399" t="str">
        <f>"081"</f>
        <v>081</v>
      </c>
      <c r="AJ399" t="str">
        <f>""</f>
        <v/>
      </c>
      <c r="AK399" t="str">
        <f>""</f>
        <v/>
      </c>
      <c r="AL399" t="str">
        <f t="shared" si="395"/>
        <v>0370</v>
      </c>
      <c r="AM399" t="str">
        <f t="shared" si="396"/>
        <v>ｼﾑ</v>
      </c>
      <c r="AN399" t="str">
        <f t="shared" si="374"/>
        <v>012</v>
      </c>
      <c r="AO399" t="str">
        <f t="shared" si="375"/>
        <v>TP-131 ﾊﾝﾖｳ</v>
      </c>
      <c r="AP399">
        <v>100</v>
      </c>
      <c r="AQ399" t="str">
        <f>""</f>
        <v/>
      </c>
      <c r="AR399" t="str">
        <f>""</f>
        <v/>
      </c>
      <c r="AS399" t="str">
        <f>""</f>
        <v/>
      </c>
      <c r="AT399" t="str">
        <f t="shared" si="376"/>
        <v>00</v>
      </c>
      <c r="AU399">
        <v>0.5</v>
      </c>
      <c r="AV399" t="str">
        <f>""</f>
        <v/>
      </c>
      <c r="AW399" t="str">
        <f t="shared" si="397"/>
        <v>06</v>
      </c>
      <c r="AX399" t="str">
        <f t="shared" si="398"/>
        <v>計画</v>
      </c>
      <c r="AY399" t="str">
        <f t="shared" si="399"/>
        <v>02</v>
      </c>
      <c r="AZ399" t="str">
        <f t="shared" si="400"/>
        <v>計画・２社</v>
      </c>
      <c r="BA399" t="str">
        <f>""</f>
        <v/>
      </c>
      <c r="BB399" t="str">
        <f t="shared" si="377"/>
        <v>ＴＰ１３１フタナシ</v>
      </c>
      <c r="BC399" t="str">
        <f t="shared" si="378"/>
        <v xml:space="preserve"> 335.000</v>
      </c>
      <c r="BD399" t="str">
        <f t="shared" si="379"/>
        <v xml:space="preserve"> 168.000</v>
      </c>
      <c r="BE399" t="str">
        <f t="shared" si="380"/>
        <v xml:space="preserve"> 103.000</v>
      </c>
      <c r="BF399" t="str">
        <f t="shared" si="381"/>
        <v xml:space="preserve">   0.006</v>
      </c>
      <c r="BG399" t="str">
        <f t="shared" si="369"/>
        <v xml:space="preserve">   4.100</v>
      </c>
      <c r="BH399" t="str">
        <f t="shared" si="364"/>
        <v>しない</v>
      </c>
      <c r="BI399" t="str">
        <f>""</f>
        <v/>
      </c>
      <c r="BJ399" t="str">
        <f t="shared" si="362"/>
        <v>MASTER01</v>
      </c>
      <c r="BK399" t="str">
        <f t="shared" si="367"/>
        <v>2023/01/17</v>
      </c>
      <c r="BL399" t="str">
        <f t="shared" si="392"/>
        <v>NE00</v>
      </c>
      <c r="BM399" t="str">
        <f t="shared" si="393"/>
        <v>１工工務Ｇ</v>
      </c>
      <c r="BN399" t="str">
        <f t="shared" si="401"/>
        <v>46548</v>
      </c>
      <c r="BO399" t="str">
        <f t="shared" si="402"/>
        <v>長畑　玲奈</v>
      </c>
    </row>
    <row r="400" spans="1:67">
      <c r="A400" t="s">
        <v>482</v>
      </c>
      <c r="B400" t="str">
        <f>""</f>
        <v/>
      </c>
      <c r="C400" t="str">
        <f>""</f>
        <v/>
      </c>
      <c r="D400" t="str">
        <f t="shared" si="394"/>
        <v>SHIM</v>
      </c>
      <c r="E400" t="str">
        <f t="shared" si="382"/>
        <v>1Y</v>
      </c>
      <c r="F400" t="str">
        <f t="shared" si="383"/>
        <v>第１工場</v>
      </c>
      <c r="G400" t="str">
        <f t="shared" si="384"/>
        <v>手配</v>
      </c>
      <c r="H400" t="str">
        <f t="shared" si="385"/>
        <v>Ｐ</v>
      </c>
      <c r="I400" t="str">
        <f t="shared" si="370"/>
        <v>6454</v>
      </c>
      <c r="J400" t="str">
        <f t="shared" si="371"/>
        <v>（株）ムロコーポレーション</v>
      </c>
      <c r="K400" t="str">
        <f t="shared" si="368"/>
        <v>01</v>
      </c>
      <c r="L400" t="str">
        <f>""</f>
        <v/>
      </c>
      <c r="M400" t="str">
        <f t="shared" si="365"/>
        <v>――</v>
      </c>
      <c r="N400" t="str">
        <f t="shared" si="365"/>
        <v>――</v>
      </c>
      <c r="O400" t="str">
        <f t="shared" si="386"/>
        <v>Ｍ</v>
      </c>
      <c r="P400" t="str">
        <f t="shared" si="387"/>
        <v>01</v>
      </c>
      <c r="Q400" t="str">
        <f t="shared" si="388"/>
        <v>第１</v>
      </c>
      <c r="R400" t="str">
        <f t="shared" si="389"/>
        <v>1Y</v>
      </c>
      <c r="S400" t="str">
        <f t="shared" si="390"/>
        <v>安城第１工場</v>
      </c>
      <c r="T400" t="str">
        <f t="shared" si="391"/>
        <v>直接</v>
      </c>
      <c r="U400" t="str">
        <f>""</f>
        <v/>
      </c>
      <c r="V400" t="str">
        <f>""</f>
        <v/>
      </c>
      <c r="W400" t="str">
        <f>""</f>
        <v/>
      </c>
      <c r="X400">
        <v>1</v>
      </c>
      <c r="Y400">
        <v>1</v>
      </c>
      <c r="Z400">
        <v>0.73</v>
      </c>
      <c r="AA400">
        <v>0.93</v>
      </c>
      <c r="AB400">
        <v>3</v>
      </c>
      <c r="AC400">
        <v>0.93</v>
      </c>
      <c r="AD400">
        <v>0.93</v>
      </c>
      <c r="AE400">
        <v>1.1000000000000001</v>
      </c>
      <c r="AF400">
        <v>0.5</v>
      </c>
      <c r="AG400" t="str">
        <f t="shared" si="372"/>
        <v>205</v>
      </c>
      <c r="AH400" t="str">
        <f t="shared" si="373"/>
        <v>（株）ムロコーポレーション</v>
      </c>
      <c r="AI400" t="str">
        <f>"082"</f>
        <v>082</v>
      </c>
      <c r="AJ400" t="str">
        <f>""</f>
        <v/>
      </c>
      <c r="AK400" t="str">
        <f>""</f>
        <v/>
      </c>
      <c r="AL400" t="str">
        <f t="shared" si="395"/>
        <v>0370</v>
      </c>
      <c r="AM400" t="str">
        <f t="shared" si="396"/>
        <v>ｼﾑ</v>
      </c>
      <c r="AN400" t="str">
        <f t="shared" si="374"/>
        <v>012</v>
      </c>
      <c r="AO400" t="str">
        <f t="shared" si="375"/>
        <v>TP-131 ﾊﾝﾖｳ</v>
      </c>
      <c r="AP400">
        <v>100</v>
      </c>
      <c r="AQ400" t="str">
        <f>""</f>
        <v/>
      </c>
      <c r="AR400" t="str">
        <f>""</f>
        <v/>
      </c>
      <c r="AS400" t="str">
        <f>""</f>
        <v/>
      </c>
      <c r="AT400" t="str">
        <f t="shared" si="376"/>
        <v>00</v>
      </c>
      <c r="AU400">
        <v>0.5</v>
      </c>
      <c r="AV400" t="str">
        <f>""</f>
        <v/>
      </c>
      <c r="AW400" t="str">
        <f t="shared" si="397"/>
        <v>06</v>
      </c>
      <c r="AX400" t="str">
        <f t="shared" si="398"/>
        <v>計画</v>
      </c>
      <c r="AY400" t="str">
        <f t="shared" si="399"/>
        <v>02</v>
      </c>
      <c r="AZ400" t="str">
        <f t="shared" si="400"/>
        <v>計画・２社</v>
      </c>
      <c r="BA400" t="str">
        <f>""</f>
        <v/>
      </c>
      <c r="BB400" t="str">
        <f t="shared" si="377"/>
        <v>ＴＰ１３１フタナシ</v>
      </c>
      <c r="BC400" t="str">
        <f t="shared" si="378"/>
        <v xml:space="preserve"> 335.000</v>
      </c>
      <c r="BD400" t="str">
        <f t="shared" si="379"/>
        <v xml:space="preserve"> 168.000</v>
      </c>
      <c r="BE400" t="str">
        <f t="shared" si="380"/>
        <v xml:space="preserve"> 103.000</v>
      </c>
      <c r="BF400" t="str">
        <f t="shared" si="381"/>
        <v xml:space="preserve">   0.006</v>
      </c>
      <c r="BG400" t="str">
        <f t="shared" si="369"/>
        <v xml:space="preserve">   4.100</v>
      </c>
      <c r="BH400" t="str">
        <f t="shared" si="364"/>
        <v>しない</v>
      </c>
      <c r="BI400" t="str">
        <f>""</f>
        <v/>
      </c>
      <c r="BJ400" t="str">
        <f t="shared" si="362"/>
        <v>MASTER01</v>
      </c>
      <c r="BK400" t="str">
        <f t="shared" si="367"/>
        <v>2023/01/17</v>
      </c>
      <c r="BL400" t="str">
        <f t="shared" si="392"/>
        <v>NE00</v>
      </c>
      <c r="BM400" t="str">
        <f t="shared" si="393"/>
        <v>１工工務Ｇ</v>
      </c>
      <c r="BN400" t="str">
        <f t="shared" si="401"/>
        <v>46548</v>
      </c>
      <c r="BO400" t="str">
        <f t="shared" si="402"/>
        <v>長畑　玲奈</v>
      </c>
    </row>
    <row r="401" spans="1:67">
      <c r="A401" t="s">
        <v>483</v>
      </c>
      <c r="B401" t="str">
        <f>""</f>
        <v/>
      </c>
      <c r="C401" t="str">
        <f>""</f>
        <v/>
      </c>
      <c r="D401" t="str">
        <f t="shared" si="394"/>
        <v>SHIM</v>
      </c>
      <c r="E401" t="str">
        <f t="shared" si="382"/>
        <v>1Y</v>
      </c>
      <c r="F401" t="str">
        <f t="shared" si="383"/>
        <v>第１工場</v>
      </c>
      <c r="G401" t="str">
        <f t="shared" si="384"/>
        <v>手配</v>
      </c>
      <c r="H401" t="str">
        <f t="shared" si="385"/>
        <v>Ｐ</v>
      </c>
      <c r="I401" t="str">
        <f t="shared" si="370"/>
        <v>6454</v>
      </c>
      <c r="J401" t="str">
        <f t="shared" si="371"/>
        <v>（株）ムロコーポレーション</v>
      </c>
      <c r="K401" t="str">
        <f t="shared" si="368"/>
        <v>01</v>
      </c>
      <c r="L401" t="str">
        <f>""</f>
        <v/>
      </c>
      <c r="M401" t="str">
        <f t="shared" si="365"/>
        <v>――</v>
      </c>
      <c r="N401" t="str">
        <f t="shared" si="365"/>
        <v>――</v>
      </c>
      <c r="O401" t="str">
        <f t="shared" si="386"/>
        <v>Ｍ</v>
      </c>
      <c r="P401" t="str">
        <f t="shared" si="387"/>
        <v>01</v>
      </c>
      <c r="Q401" t="str">
        <f t="shared" si="388"/>
        <v>第１</v>
      </c>
      <c r="R401" t="str">
        <f t="shared" si="389"/>
        <v>1Y</v>
      </c>
      <c r="S401" t="str">
        <f t="shared" si="390"/>
        <v>安城第１工場</v>
      </c>
      <c r="T401" t="str">
        <f t="shared" si="391"/>
        <v>直接</v>
      </c>
      <c r="U401" t="str">
        <f>""</f>
        <v/>
      </c>
      <c r="V401" t="str">
        <f>""</f>
        <v/>
      </c>
      <c r="W401" t="str">
        <f>""</f>
        <v/>
      </c>
      <c r="X401">
        <v>1</v>
      </c>
      <c r="Y401">
        <v>1</v>
      </c>
      <c r="Z401">
        <v>0.73</v>
      </c>
      <c r="AA401">
        <v>0.93</v>
      </c>
      <c r="AB401">
        <v>3</v>
      </c>
      <c r="AC401">
        <v>0.93</v>
      </c>
      <c r="AD401">
        <v>0.93</v>
      </c>
      <c r="AE401">
        <v>1.1000000000000001</v>
      </c>
      <c r="AF401">
        <v>0.5</v>
      </c>
      <c r="AG401" t="str">
        <f t="shared" si="372"/>
        <v>205</v>
      </c>
      <c r="AH401" t="str">
        <f t="shared" si="373"/>
        <v>（株）ムロコーポレーション</v>
      </c>
      <c r="AI401" t="str">
        <f>"083"</f>
        <v>083</v>
      </c>
      <c r="AJ401" t="str">
        <f>""</f>
        <v/>
      </c>
      <c r="AK401" t="str">
        <f>""</f>
        <v/>
      </c>
      <c r="AL401" t="str">
        <f t="shared" si="395"/>
        <v>0370</v>
      </c>
      <c r="AM401" t="str">
        <f t="shared" si="396"/>
        <v>ｼﾑ</v>
      </c>
      <c r="AN401" t="str">
        <f t="shared" si="374"/>
        <v>012</v>
      </c>
      <c r="AO401" t="str">
        <f t="shared" si="375"/>
        <v>TP-131 ﾊﾝﾖｳ</v>
      </c>
      <c r="AP401">
        <v>100</v>
      </c>
      <c r="AQ401" t="str">
        <f>""</f>
        <v/>
      </c>
      <c r="AR401" t="str">
        <f>""</f>
        <v/>
      </c>
      <c r="AS401" t="str">
        <f>""</f>
        <v/>
      </c>
      <c r="AT401" t="str">
        <f t="shared" si="376"/>
        <v>00</v>
      </c>
      <c r="AU401">
        <v>0.5</v>
      </c>
      <c r="AV401" t="str">
        <f>""</f>
        <v/>
      </c>
      <c r="AW401" t="str">
        <f t="shared" si="397"/>
        <v>06</v>
      </c>
      <c r="AX401" t="str">
        <f t="shared" si="398"/>
        <v>計画</v>
      </c>
      <c r="AY401" t="str">
        <f t="shared" si="399"/>
        <v>02</v>
      </c>
      <c r="AZ401" t="str">
        <f t="shared" si="400"/>
        <v>計画・２社</v>
      </c>
      <c r="BA401" t="str">
        <f>""</f>
        <v/>
      </c>
      <c r="BB401" t="str">
        <f t="shared" si="377"/>
        <v>ＴＰ１３１フタナシ</v>
      </c>
      <c r="BC401" t="str">
        <f t="shared" si="378"/>
        <v xml:space="preserve"> 335.000</v>
      </c>
      <c r="BD401" t="str">
        <f t="shared" si="379"/>
        <v xml:space="preserve"> 168.000</v>
      </c>
      <c r="BE401" t="str">
        <f t="shared" si="380"/>
        <v xml:space="preserve"> 103.000</v>
      </c>
      <c r="BF401" t="str">
        <f t="shared" si="381"/>
        <v xml:space="preserve">   0.006</v>
      </c>
      <c r="BG401" t="str">
        <f t="shared" si="369"/>
        <v xml:space="preserve">   4.100</v>
      </c>
      <c r="BH401" t="str">
        <f t="shared" si="364"/>
        <v>しない</v>
      </c>
      <c r="BI401" t="str">
        <f>""</f>
        <v/>
      </c>
      <c r="BJ401" t="str">
        <f t="shared" si="362"/>
        <v>MASTER01</v>
      </c>
      <c r="BK401" t="str">
        <f t="shared" si="367"/>
        <v>2023/01/17</v>
      </c>
      <c r="BL401" t="str">
        <f t="shared" si="392"/>
        <v>NE00</v>
      </c>
      <c r="BM401" t="str">
        <f t="shared" si="393"/>
        <v>１工工務Ｇ</v>
      </c>
      <c r="BN401" t="str">
        <f t="shared" si="401"/>
        <v>46548</v>
      </c>
      <c r="BO401" t="str">
        <f t="shared" si="402"/>
        <v>長畑　玲奈</v>
      </c>
    </row>
    <row r="402" spans="1:67">
      <c r="A402" t="s">
        <v>484</v>
      </c>
      <c r="B402" t="str">
        <f>""</f>
        <v/>
      </c>
      <c r="C402" t="str">
        <f>""</f>
        <v/>
      </c>
      <c r="D402" t="str">
        <f t="shared" si="394"/>
        <v>SHIM</v>
      </c>
      <c r="E402" t="str">
        <f t="shared" si="382"/>
        <v>1Y</v>
      </c>
      <c r="F402" t="str">
        <f t="shared" si="383"/>
        <v>第１工場</v>
      </c>
      <c r="G402" t="str">
        <f t="shared" si="384"/>
        <v>手配</v>
      </c>
      <c r="H402" t="str">
        <f t="shared" si="385"/>
        <v>Ｐ</v>
      </c>
      <c r="I402" t="str">
        <f t="shared" si="370"/>
        <v>6454</v>
      </c>
      <c r="J402" t="str">
        <f t="shared" si="371"/>
        <v>（株）ムロコーポレーション</v>
      </c>
      <c r="K402" t="str">
        <f t="shared" si="368"/>
        <v>01</v>
      </c>
      <c r="L402" t="str">
        <f>""</f>
        <v/>
      </c>
      <c r="M402" t="str">
        <f t="shared" si="365"/>
        <v>――</v>
      </c>
      <c r="N402" t="str">
        <f t="shared" si="365"/>
        <v>――</v>
      </c>
      <c r="O402" t="str">
        <f t="shared" si="386"/>
        <v>Ｍ</v>
      </c>
      <c r="P402" t="str">
        <f t="shared" si="387"/>
        <v>01</v>
      </c>
      <c r="Q402" t="str">
        <f t="shared" si="388"/>
        <v>第１</v>
      </c>
      <c r="R402" t="str">
        <f t="shared" si="389"/>
        <v>1Y</v>
      </c>
      <c r="S402" t="str">
        <f t="shared" si="390"/>
        <v>安城第１工場</v>
      </c>
      <c r="T402" t="str">
        <f t="shared" si="391"/>
        <v>直接</v>
      </c>
      <c r="U402" t="str">
        <f>""</f>
        <v/>
      </c>
      <c r="V402" t="str">
        <f>""</f>
        <v/>
      </c>
      <c r="W402" t="str">
        <f>""</f>
        <v/>
      </c>
      <c r="X402">
        <v>1</v>
      </c>
      <c r="Y402">
        <v>1</v>
      </c>
      <c r="Z402">
        <v>0.73</v>
      </c>
      <c r="AA402">
        <v>0.93</v>
      </c>
      <c r="AB402">
        <v>3</v>
      </c>
      <c r="AC402">
        <v>0.93</v>
      </c>
      <c r="AD402">
        <v>0.93</v>
      </c>
      <c r="AE402">
        <v>1.1000000000000001</v>
      </c>
      <c r="AF402">
        <v>0.5</v>
      </c>
      <c r="AG402" t="str">
        <f t="shared" si="372"/>
        <v>205</v>
      </c>
      <c r="AH402" t="str">
        <f t="shared" si="373"/>
        <v>（株）ムロコーポレーション</v>
      </c>
      <c r="AI402" t="str">
        <f>"084"</f>
        <v>084</v>
      </c>
      <c r="AJ402" t="str">
        <f>""</f>
        <v/>
      </c>
      <c r="AK402" t="str">
        <f>""</f>
        <v/>
      </c>
      <c r="AL402" t="str">
        <f t="shared" si="395"/>
        <v>0370</v>
      </c>
      <c r="AM402" t="str">
        <f t="shared" si="396"/>
        <v>ｼﾑ</v>
      </c>
      <c r="AN402" t="str">
        <f t="shared" si="374"/>
        <v>012</v>
      </c>
      <c r="AO402" t="str">
        <f t="shared" si="375"/>
        <v>TP-131 ﾊﾝﾖｳ</v>
      </c>
      <c r="AP402">
        <v>100</v>
      </c>
      <c r="AQ402" t="str">
        <f>""</f>
        <v/>
      </c>
      <c r="AR402" t="str">
        <f>""</f>
        <v/>
      </c>
      <c r="AS402" t="str">
        <f>""</f>
        <v/>
      </c>
      <c r="AT402" t="str">
        <f t="shared" si="376"/>
        <v>00</v>
      </c>
      <c r="AU402">
        <v>0.5</v>
      </c>
      <c r="AV402" t="str">
        <f>""</f>
        <v/>
      </c>
      <c r="AW402" t="str">
        <f t="shared" si="397"/>
        <v>06</v>
      </c>
      <c r="AX402" t="str">
        <f t="shared" si="398"/>
        <v>計画</v>
      </c>
      <c r="AY402" t="str">
        <f t="shared" si="399"/>
        <v>02</v>
      </c>
      <c r="AZ402" t="str">
        <f t="shared" si="400"/>
        <v>計画・２社</v>
      </c>
      <c r="BA402" t="str">
        <f>""</f>
        <v/>
      </c>
      <c r="BB402" t="str">
        <f t="shared" si="377"/>
        <v>ＴＰ１３１フタナシ</v>
      </c>
      <c r="BC402" t="str">
        <f t="shared" si="378"/>
        <v xml:space="preserve"> 335.000</v>
      </c>
      <c r="BD402" t="str">
        <f t="shared" si="379"/>
        <v xml:space="preserve"> 168.000</v>
      </c>
      <c r="BE402" t="str">
        <f t="shared" si="380"/>
        <v xml:space="preserve"> 103.000</v>
      </c>
      <c r="BF402" t="str">
        <f t="shared" si="381"/>
        <v xml:space="preserve">   0.006</v>
      </c>
      <c r="BG402" t="str">
        <f t="shared" si="369"/>
        <v xml:space="preserve">   4.100</v>
      </c>
      <c r="BH402" t="str">
        <f t="shared" si="364"/>
        <v>しない</v>
      </c>
      <c r="BI402" t="str">
        <f>""</f>
        <v/>
      </c>
      <c r="BJ402" t="str">
        <f t="shared" si="362"/>
        <v>MASTER01</v>
      </c>
      <c r="BK402" t="str">
        <f t="shared" si="367"/>
        <v>2023/01/17</v>
      </c>
      <c r="BL402" t="str">
        <f t="shared" si="392"/>
        <v>NE00</v>
      </c>
      <c r="BM402" t="str">
        <f t="shared" si="393"/>
        <v>１工工務Ｇ</v>
      </c>
      <c r="BN402" t="str">
        <f t="shared" si="401"/>
        <v>46548</v>
      </c>
      <c r="BO402" t="str">
        <f t="shared" si="402"/>
        <v>長畑　玲奈</v>
      </c>
    </row>
    <row r="403" spans="1:67">
      <c r="A403" t="s">
        <v>485</v>
      </c>
      <c r="B403" t="str">
        <f>""</f>
        <v/>
      </c>
      <c r="C403" t="str">
        <f>""</f>
        <v/>
      </c>
      <c r="D403" t="str">
        <f t="shared" si="394"/>
        <v>SHIM</v>
      </c>
      <c r="E403" t="str">
        <f t="shared" si="382"/>
        <v>1Y</v>
      </c>
      <c r="F403" t="str">
        <f t="shared" si="383"/>
        <v>第１工場</v>
      </c>
      <c r="G403" t="str">
        <f t="shared" si="384"/>
        <v>手配</v>
      </c>
      <c r="H403" t="str">
        <f t="shared" si="385"/>
        <v>Ｐ</v>
      </c>
      <c r="I403" t="str">
        <f t="shared" si="370"/>
        <v>6454</v>
      </c>
      <c r="J403" t="str">
        <f t="shared" si="371"/>
        <v>（株）ムロコーポレーション</v>
      </c>
      <c r="K403" t="str">
        <f t="shared" si="368"/>
        <v>01</v>
      </c>
      <c r="L403" t="str">
        <f>""</f>
        <v/>
      </c>
      <c r="M403" t="str">
        <f t="shared" si="365"/>
        <v>――</v>
      </c>
      <c r="N403" t="str">
        <f t="shared" si="365"/>
        <v>――</v>
      </c>
      <c r="O403" t="str">
        <f t="shared" si="386"/>
        <v>Ｍ</v>
      </c>
      <c r="P403" t="str">
        <f t="shared" si="387"/>
        <v>01</v>
      </c>
      <c r="Q403" t="str">
        <f t="shared" si="388"/>
        <v>第１</v>
      </c>
      <c r="R403" t="str">
        <f t="shared" si="389"/>
        <v>1Y</v>
      </c>
      <c r="S403" t="str">
        <f t="shared" si="390"/>
        <v>安城第１工場</v>
      </c>
      <c r="T403" t="str">
        <f t="shared" si="391"/>
        <v>直接</v>
      </c>
      <c r="U403" t="str">
        <f>""</f>
        <v/>
      </c>
      <c r="V403" t="str">
        <f>""</f>
        <v/>
      </c>
      <c r="W403" t="str">
        <f>""</f>
        <v/>
      </c>
      <c r="X403">
        <v>1</v>
      </c>
      <c r="Y403">
        <v>1</v>
      </c>
      <c r="Z403">
        <v>0.73</v>
      </c>
      <c r="AA403">
        <v>0.93</v>
      </c>
      <c r="AB403">
        <v>3</v>
      </c>
      <c r="AC403">
        <v>0.93</v>
      </c>
      <c r="AD403">
        <v>0.93</v>
      </c>
      <c r="AE403">
        <v>1.1000000000000001</v>
      </c>
      <c r="AF403">
        <v>0.5</v>
      </c>
      <c r="AG403" t="str">
        <f t="shared" si="372"/>
        <v>205</v>
      </c>
      <c r="AH403" t="str">
        <f t="shared" si="373"/>
        <v>（株）ムロコーポレーション</v>
      </c>
      <c r="AI403" t="str">
        <f>"085"</f>
        <v>085</v>
      </c>
      <c r="AJ403" t="str">
        <f>""</f>
        <v/>
      </c>
      <c r="AK403" t="str">
        <f>""</f>
        <v/>
      </c>
      <c r="AL403" t="str">
        <f t="shared" si="395"/>
        <v>0370</v>
      </c>
      <c r="AM403" t="str">
        <f t="shared" si="396"/>
        <v>ｼﾑ</v>
      </c>
      <c r="AN403" t="str">
        <f t="shared" si="374"/>
        <v>012</v>
      </c>
      <c r="AO403" t="str">
        <f t="shared" si="375"/>
        <v>TP-131 ﾊﾝﾖｳ</v>
      </c>
      <c r="AP403">
        <v>100</v>
      </c>
      <c r="AQ403" t="str">
        <f>""</f>
        <v/>
      </c>
      <c r="AR403" t="str">
        <f>""</f>
        <v/>
      </c>
      <c r="AS403" t="str">
        <f>""</f>
        <v/>
      </c>
      <c r="AT403" t="str">
        <f t="shared" si="376"/>
        <v>00</v>
      </c>
      <c r="AU403">
        <v>0.5</v>
      </c>
      <c r="AV403" t="str">
        <f>""</f>
        <v/>
      </c>
      <c r="AW403" t="str">
        <f t="shared" si="397"/>
        <v>06</v>
      </c>
      <c r="AX403" t="str">
        <f t="shared" si="398"/>
        <v>計画</v>
      </c>
      <c r="AY403" t="str">
        <f t="shared" si="399"/>
        <v>02</v>
      </c>
      <c r="AZ403" t="str">
        <f t="shared" si="400"/>
        <v>計画・２社</v>
      </c>
      <c r="BA403" t="str">
        <f>""</f>
        <v/>
      </c>
      <c r="BB403" t="str">
        <f t="shared" si="377"/>
        <v>ＴＰ１３１フタナシ</v>
      </c>
      <c r="BC403" t="str">
        <f t="shared" si="378"/>
        <v xml:space="preserve"> 335.000</v>
      </c>
      <c r="BD403" t="str">
        <f t="shared" si="379"/>
        <v xml:space="preserve"> 168.000</v>
      </c>
      <c r="BE403" t="str">
        <f t="shared" si="380"/>
        <v xml:space="preserve"> 103.000</v>
      </c>
      <c r="BF403" t="str">
        <f t="shared" si="381"/>
        <v xml:space="preserve">   0.006</v>
      </c>
      <c r="BG403" t="str">
        <f t="shared" si="369"/>
        <v xml:space="preserve">   4.100</v>
      </c>
      <c r="BH403" t="str">
        <f t="shared" si="364"/>
        <v>しない</v>
      </c>
      <c r="BI403" t="str">
        <f>""</f>
        <v/>
      </c>
      <c r="BJ403" t="str">
        <f t="shared" ref="BJ403:BJ466" si="403">"MASTER01"</f>
        <v>MASTER01</v>
      </c>
      <c r="BK403" t="str">
        <f t="shared" si="367"/>
        <v>2023/01/17</v>
      </c>
      <c r="BL403" t="str">
        <f t="shared" si="392"/>
        <v>NE00</v>
      </c>
      <c r="BM403" t="str">
        <f t="shared" si="393"/>
        <v>１工工務Ｇ</v>
      </c>
      <c r="BN403" t="str">
        <f t="shared" si="401"/>
        <v>46548</v>
      </c>
      <c r="BO403" t="str">
        <f t="shared" si="402"/>
        <v>長畑　玲奈</v>
      </c>
    </row>
    <row r="404" spans="1:67">
      <c r="A404" t="s">
        <v>486</v>
      </c>
      <c r="B404" t="str">
        <f>""</f>
        <v/>
      </c>
      <c r="C404" t="str">
        <f>""</f>
        <v/>
      </c>
      <c r="D404" t="str">
        <f t="shared" si="394"/>
        <v>SHIM</v>
      </c>
      <c r="E404" t="str">
        <f t="shared" si="382"/>
        <v>1Y</v>
      </c>
      <c r="F404" t="str">
        <f t="shared" si="383"/>
        <v>第１工場</v>
      </c>
      <c r="G404" t="str">
        <f t="shared" si="384"/>
        <v>手配</v>
      </c>
      <c r="H404" t="str">
        <f t="shared" si="385"/>
        <v>Ｐ</v>
      </c>
      <c r="I404" t="str">
        <f t="shared" si="370"/>
        <v>6454</v>
      </c>
      <c r="J404" t="str">
        <f t="shared" si="371"/>
        <v>（株）ムロコーポレーション</v>
      </c>
      <c r="K404" t="str">
        <f t="shared" si="368"/>
        <v>01</v>
      </c>
      <c r="L404" t="str">
        <f>""</f>
        <v/>
      </c>
      <c r="M404" t="str">
        <f t="shared" si="365"/>
        <v>――</v>
      </c>
      <c r="N404" t="str">
        <f t="shared" si="365"/>
        <v>――</v>
      </c>
      <c r="O404" t="str">
        <f t="shared" si="386"/>
        <v>Ｍ</v>
      </c>
      <c r="P404" t="str">
        <f t="shared" si="387"/>
        <v>01</v>
      </c>
      <c r="Q404" t="str">
        <f t="shared" si="388"/>
        <v>第１</v>
      </c>
      <c r="R404" t="str">
        <f t="shared" si="389"/>
        <v>1Y</v>
      </c>
      <c r="S404" t="str">
        <f t="shared" si="390"/>
        <v>安城第１工場</v>
      </c>
      <c r="T404" t="str">
        <f t="shared" si="391"/>
        <v>直接</v>
      </c>
      <c r="U404" t="str">
        <f>""</f>
        <v/>
      </c>
      <c r="V404" t="str">
        <f>""</f>
        <v/>
      </c>
      <c r="W404" t="str">
        <f>""</f>
        <v/>
      </c>
      <c r="X404">
        <v>1</v>
      </c>
      <c r="Y404">
        <v>1</v>
      </c>
      <c r="Z404">
        <v>0.73</v>
      </c>
      <c r="AA404">
        <v>0.93</v>
      </c>
      <c r="AB404">
        <v>3</v>
      </c>
      <c r="AC404">
        <v>0.93</v>
      </c>
      <c r="AD404">
        <v>0.93</v>
      </c>
      <c r="AE404">
        <v>1.1000000000000001</v>
      </c>
      <c r="AF404">
        <v>0.5</v>
      </c>
      <c r="AG404" t="str">
        <f t="shared" si="372"/>
        <v>205</v>
      </c>
      <c r="AH404" t="str">
        <f t="shared" si="373"/>
        <v>（株）ムロコーポレーション</v>
      </c>
      <c r="AI404" t="str">
        <f>"086"</f>
        <v>086</v>
      </c>
      <c r="AJ404" t="str">
        <f>""</f>
        <v/>
      </c>
      <c r="AK404" t="str">
        <f>""</f>
        <v/>
      </c>
      <c r="AL404" t="str">
        <f t="shared" si="395"/>
        <v>0370</v>
      </c>
      <c r="AM404" t="str">
        <f t="shared" si="396"/>
        <v>ｼﾑ</v>
      </c>
      <c r="AN404" t="str">
        <f t="shared" si="374"/>
        <v>012</v>
      </c>
      <c r="AO404" t="str">
        <f t="shared" si="375"/>
        <v>TP-131 ﾊﾝﾖｳ</v>
      </c>
      <c r="AP404">
        <v>100</v>
      </c>
      <c r="AQ404" t="str">
        <f>""</f>
        <v/>
      </c>
      <c r="AR404" t="str">
        <f>""</f>
        <v/>
      </c>
      <c r="AS404" t="str">
        <f>""</f>
        <v/>
      </c>
      <c r="AT404" t="str">
        <f t="shared" si="376"/>
        <v>00</v>
      </c>
      <c r="AU404">
        <v>0.5</v>
      </c>
      <c r="AV404" t="str">
        <f>""</f>
        <v/>
      </c>
      <c r="AW404" t="str">
        <f t="shared" si="397"/>
        <v>06</v>
      </c>
      <c r="AX404" t="str">
        <f t="shared" si="398"/>
        <v>計画</v>
      </c>
      <c r="AY404" t="str">
        <f t="shared" si="399"/>
        <v>02</v>
      </c>
      <c r="AZ404" t="str">
        <f t="shared" si="400"/>
        <v>計画・２社</v>
      </c>
      <c r="BA404" t="str">
        <f>""</f>
        <v/>
      </c>
      <c r="BB404" t="str">
        <f t="shared" si="377"/>
        <v>ＴＰ１３１フタナシ</v>
      </c>
      <c r="BC404" t="str">
        <f t="shared" si="378"/>
        <v xml:space="preserve"> 335.000</v>
      </c>
      <c r="BD404" t="str">
        <f t="shared" si="379"/>
        <v xml:space="preserve"> 168.000</v>
      </c>
      <c r="BE404" t="str">
        <f t="shared" si="380"/>
        <v xml:space="preserve"> 103.000</v>
      </c>
      <c r="BF404" t="str">
        <f t="shared" si="381"/>
        <v xml:space="preserve">   0.006</v>
      </c>
      <c r="BG404" t="str">
        <f t="shared" si="369"/>
        <v xml:space="preserve">   4.100</v>
      </c>
      <c r="BH404" t="str">
        <f t="shared" si="364"/>
        <v>しない</v>
      </c>
      <c r="BI404" t="str">
        <f>""</f>
        <v/>
      </c>
      <c r="BJ404" t="str">
        <f t="shared" si="403"/>
        <v>MASTER01</v>
      </c>
      <c r="BK404" t="str">
        <f t="shared" si="367"/>
        <v>2023/01/17</v>
      </c>
      <c r="BL404" t="str">
        <f t="shared" si="392"/>
        <v>NE00</v>
      </c>
      <c r="BM404" t="str">
        <f t="shared" si="393"/>
        <v>１工工務Ｇ</v>
      </c>
      <c r="BN404" t="str">
        <f t="shared" si="401"/>
        <v>46548</v>
      </c>
      <c r="BO404" t="str">
        <f t="shared" si="402"/>
        <v>長畑　玲奈</v>
      </c>
    </row>
    <row r="405" spans="1:67">
      <c r="A405" t="s">
        <v>487</v>
      </c>
      <c r="B405" t="str">
        <f>""</f>
        <v/>
      </c>
      <c r="C405" t="str">
        <f>""</f>
        <v/>
      </c>
      <c r="D405" t="str">
        <f t="shared" si="394"/>
        <v>SHIM</v>
      </c>
      <c r="E405" t="str">
        <f t="shared" si="382"/>
        <v>1Y</v>
      </c>
      <c r="F405" t="str">
        <f t="shared" si="383"/>
        <v>第１工場</v>
      </c>
      <c r="G405" t="str">
        <f t="shared" si="384"/>
        <v>手配</v>
      </c>
      <c r="H405" t="str">
        <f t="shared" si="385"/>
        <v>Ｐ</v>
      </c>
      <c r="I405" t="str">
        <f t="shared" si="370"/>
        <v>6454</v>
      </c>
      <c r="J405" t="str">
        <f t="shared" si="371"/>
        <v>（株）ムロコーポレーション</v>
      </c>
      <c r="K405" t="str">
        <f t="shared" si="368"/>
        <v>01</v>
      </c>
      <c r="L405" t="str">
        <f>""</f>
        <v/>
      </c>
      <c r="M405" t="str">
        <f t="shared" si="365"/>
        <v>――</v>
      </c>
      <c r="N405" t="str">
        <f t="shared" si="365"/>
        <v>――</v>
      </c>
      <c r="O405" t="str">
        <f t="shared" si="386"/>
        <v>Ｍ</v>
      </c>
      <c r="P405" t="str">
        <f t="shared" si="387"/>
        <v>01</v>
      </c>
      <c r="Q405" t="str">
        <f t="shared" si="388"/>
        <v>第１</v>
      </c>
      <c r="R405" t="str">
        <f t="shared" si="389"/>
        <v>1Y</v>
      </c>
      <c r="S405" t="str">
        <f t="shared" si="390"/>
        <v>安城第１工場</v>
      </c>
      <c r="T405" t="str">
        <f t="shared" si="391"/>
        <v>直接</v>
      </c>
      <c r="U405" t="str">
        <f>""</f>
        <v/>
      </c>
      <c r="V405" t="str">
        <f>""</f>
        <v/>
      </c>
      <c r="W405" t="str">
        <f>""</f>
        <v/>
      </c>
      <c r="X405">
        <v>1</v>
      </c>
      <c r="Y405">
        <v>1</v>
      </c>
      <c r="Z405">
        <v>0.73</v>
      </c>
      <c r="AA405">
        <v>0.93</v>
      </c>
      <c r="AB405">
        <v>3</v>
      </c>
      <c r="AC405">
        <v>0.93</v>
      </c>
      <c r="AD405">
        <v>0.93</v>
      </c>
      <c r="AE405">
        <v>1.1000000000000001</v>
      </c>
      <c r="AF405">
        <v>0.5</v>
      </c>
      <c r="AG405" t="str">
        <f t="shared" si="372"/>
        <v>205</v>
      </c>
      <c r="AH405" t="str">
        <f t="shared" si="373"/>
        <v>（株）ムロコーポレーション</v>
      </c>
      <c r="AI405" t="str">
        <f>"087"</f>
        <v>087</v>
      </c>
      <c r="AJ405" t="str">
        <f>""</f>
        <v/>
      </c>
      <c r="AK405" t="str">
        <f>""</f>
        <v/>
      </c>
      <c r="AL405" t="str">
        <f t="shared" si="395"/>
        <v>0370</v>
      </c>
      <c r="AM405" t="str">
        <f t="shared" si="396"/>
        <v>ｼﾑ</v>
      </c>
      <c r="AN405" t="str">
        <f t="shared" si="374"/>
        <v>012</v>
      </c>
      <c r="AO405" t="str">
        <f t="shared" si="375"/>
        <v>TP-131 ﾊﾝﾖｳ</v>
      </c>
      <c r="AP405">
        <v>100</v>
      </c>
      <c r="AQ405" t="str">
        <f>""</f>
        <v/>
      </c>
      <c r="AR405" t="str">
        <f>""</f>
        <v/>
      </c>
      <c r="AS405" t="str">
        <f>""</f>
        <v/>
      </c>
      <c r="AT405" t="str">
        <f t="shared" si="376"/>
        <v>00</v>
      </c>
      <c r="AU405">
        <v>0.5</v>
      </c>
      <c r="AV405" t="str">
        <f>""</f>
        <v/>
      </c>
      <c r="AW405" t="str">
        <f t="shared" si="397"/>
        <v>06</v>
      </c>
      <c r="AX405" t="str">
        <f t="shared" si="398"/>
        <v>計画</v>
      </c>
      <c r="AY405" t="str">
        <f t="shared" si="399"/>
        <v>02</v>
      </c>
      <c r="AZ405" t="str">
        <f t="shared" si="400"/>
        <v>計画・２社</v>
      </c>
      <c r="BA405" t="str">
        <f>""</f>
        <v/>
      </c>
      <c r="BB405" t="str">
        <f t="shared" si="377"/>
        <v>ＴＰ１３１フタナシ</v>
      </c>
      <c r="BC405" t="str">
        <f t="shared" si="378"/>
        <v xml:space="preserve"> 335.000</v>
      </c>
      <c r="BD405" t="str">
        <f t="shared" si="379"/>
        <v xml:space="preserve"> 168.000</v>
      </c>
      <c r="BE405" t="str">
        <f t="shared" si="380"/>
        <v xml:space="preserve"> 103.000</v>
      </c>
      <c r="BF405" t="str">
        <f t="shared" si="381"/>
        <v xml:space="preserve">   0.006</v>
      </c>
      <c r="BG405" t="str">
        <f t="shared" si="369"/>
        <v xml:space="preserve">   4.100</v>
      </c>
      <c r="BH405" t="str">
        <f t="shared" si="364"/>
        <v>しない</v>
      </c>
      <c r="BI405" t="str">
        <f>""</f>
        <v/>
      </c>
      <c r="BJ405" t="str">
        <f t="shared" si="403"/>
        <v>MASTER01</v>
      </c>
      <c r="BK405" t="str">
        <f t="shared" si="367"/>
        <v>2023/01/17</v>
      </c>
      <c r="BL405" t="str">
        <f t="shared" si="392"/>
        <v>NE00</v>
      </c>
      <c r="BM405" t="str">
        <f t="shared" si="393"/>
        <v>１工工務Ｇ</v>
      </c>
      <c r="BN405" t="str">
        <f t="shared" si="401"/>
        <v>46548</v>
      </c>
      <c r="BO405" t="str">
        <f t="shared" si="402"/>
        <v>長畑　玲奈</v>
      </c>
    </row>
    <row r="406" spans="1:67">
      <c r="A406" t="s">
        <v>488</v>
      </c>
      <c r="B406" t="str">
        <f>""</f>
        <v/>
      </c>
      <c r="C406" t="str">
        <f>""</f>
        <v/>
      </c>
      <c r="D406" t="str">
        <f t="shared" si="394"/>
        <v>SHIM</v>
      </c>
      <c r="E406" t="str">
        <f t="shared" si="382"/>
        <v>1Y</v>
      </c>
      <c r="F406" t="str">
        <f t="shared" si="383"/>
        <v>第１工場</v>
      </c>
      <c r="G406" t="str">
        <f t="shared" si="384"/>
        <v>手配</v>
      </c>
      <c r="H406" t="str">
        <f t="shared" si="385"/>
        <v>Ｐ</v>
      </c>
      <c r="I406" t="str">
        <f t="shared" si="370"/>
        <v>6454</v>
      </c>
      <c r="J406" t="str">
        <f t="shared" si="371"/>
        <v>（株）ムロコーポレーション</v>
      </c>
      <c r="K406" t="str">
        <f t="shared" si="368"/>
        <v>01</v>
      </c>
      <c r="L406" t="str">
        <f>""</f>
        <v/>
      </c>
      <c r="M406" t="str">
        <f t="shared" si="365"/>
        <v>――</v>
      </c>
      <c r="N406" t="str">
        <f t="shared" si="365"/>
        <v>――</v>
      </c>
      <c r="O406" t="str">
        <f t="shared" si="386"/>
        <v>Ｍ</v>
      </c>
      <c r="P406" t="str">
        <f t="shared" si="387"/>
        <v>01</v>
      </c>
      <c r="Q406" t="str">
        <f t="shared" si="388"/>
        <v>第１</v>
      </c>
      <c r="R406" t="str">
        <f t="shared" si="389"/>
        <v>1Y</v>
      </c>
      <c r="S406" t="str">
        <f t="shared" si="390"/>
        <v>安城第１工場</v>
      </c>
      <c r="T406" t="str">
        <f t="shared" si="391"/>
        <v>直接</v>
      </c>
      <c r="U406" t="str">
        <f>""</f>
        <v/>
      </c>
      <c r="V406" t="str">
        <f>""</f>
        <v/>
      </c>
      <c r="W406" t="str">
        <f>""</f>
        <v/>
      </c>
      <c r="X406">
        <v>1</v>
      </c>
      <c r="Y406">
        <v>1</v>
      </c>
      <c r="Z406">
        <v>0.73</v>
      </c>
      <c r="AA406">
        <v>0.93</v>
      </c>
      <c r="AB406">
        <v>3</v>
      </c>
      <c r="AC406">
        <v>0.93</v>
      </c>
      <c r="AD406">
        <v>0.93</v>
      </c>
      <c r="AE406">
        <v>1.1000000000000001</v>
      </c>
      <c r="AF406">
        <v>0.5</v>
      </c>
      <c r="AG406" t="str">
        <f t="shared" si="372"/>
        <v>205</v>
      </c>
      <c r="AH406" t="str">
        <f t="shared" si="373"/>
        <v>（株）ムロコーポレーション</v>
      </c>
      <c r="AI406" t="str">
        <f>"217"</f>
        <v>217</v>
      </c>
      <c r="AJ406" t="str">
        <f>"S-SM-4-16"</f>
        <v>S-SM-4-16</v>
      </c>
      <c r="AK406" t="str">
        <f>"10262"</f>
        <v>10262</v>
      </c>
      <c r="AL406" t="str">
        <f t="shared" si="395"/>
        <v>0370</v>
      </c>
      <c r="AM406" t="str">
        <f t="shared" si="396"/>
        <v>ｼﾑ</v>
      </c>
      <c r="AN406" t="str">
        <f t="shared" si="374"/>
        <v>012</v>
      </c>
      <c r="AO406" t="str">
        <f t="shared" si="375"/>
        <v>TP-131 ﾊﾝﾖｳ</v>
      </c>
      <c r="AP406">
        <v>100</v>
      </c>
      <c r="AQ406" t="str">
        <f>""</f>
        <v/>
      </c>
      <c r="AR406" t="str">
        <f>""</f>
        <v/>
      </c>
      <c r="AS406" t="str">
        <f>""</f>
        <v/>
      </c>
      <c r="AT406" t="str">
        <f t="shared" si="376"/>
        <v>00</v>
      </c>
      <c r="AU406">
        <v>0.5</v>
      </c>
      <c r="AV406" t="str">
        <f>""</f>
        <v/>
      </c>
      <c r="AW406" t="str">
        <f t="shared" si="397"/>
        <v>06</v>
      </c>
      <c r="AX406" t="str">
        <f t="shared" si="398"/>
        <v>計画</v>
      </c>
      <c r="AY406" t="str">
        <f t="shared" si="399"/>
        <v>02</v>
      </c>
      <c r="AZ406" t="str">
        <f t="shared" si="400"/>
        <v>計画・２社</v>
      </c>
      <c r="BA406" t="str">
        <f>""</f>
        <v/>
      </c>
      <c r="BB406" t="str">
        <f t="shared" si="377"/>
        <v>ＴＰ１３１フタナシ</v>
      </c>
      <c r="BC406" t="str">
        <f t="shared" si="378"/>
        <v xml:space="preserve"> 335.000</v>
      </c>
      <c r="BD406" t="str">
        <f t="shared" si="379"/>
        <v xml:space="preserve"> 168.000</v>
      </c>
      <c r="BE406" t="str">
        <f t="shared" si="380"/>
        <v xml:space="preserve"> 103.000</v>
      </c>
      <c r="BF406" t="str">
        <f t="shared" si="381"/>
        <v xml:space="preserve">   0.006</v>
      </c>
      <c r="BG406" t="str">
        <f t="shared" ref="BG406:BG421" si="404">"   6.500"</f>
        <v xml:space="preserve">   6.500</v>
      </c>
      <c r="BH406" t="str">
        <f t="shared" si="364"/>
        <v>しない</v>
      </c>
      <c r="BI406" t="str">
        <f>""</f>
        <v/>
      </c>
      <c r="BJ406" t="str">
        <f t="shared" si="403"/>
        <v>MASTER01</v>
      </c>
      <c r="BK406" t="str">
        <f t="shared" ref="BK406:BK469" si="405">"2022/04/19"</f>
        <v>2022/04/19</v>
      </c>
      <c r="BL406" t="str">
        <f t="shared" si="392"/>
        <v>NE00</v>
      </c>
      <c r="BM406" t="str">
        <f t="shared" si="393"/>
        <v>１工工務Ｇ</v>
      </c>
      <c r="BN406" t="str">
        <f t="shared" si="401"/>
        <v>46548</v>
      </c>
      <c r="BO406" t="str">
        <f t="shared" si="402"/>
        <v>長畑　玲奈</v>
      </c>
    </row>
    <row r="407" spans="1:67">
      <c r="A407" t="s">
        <v>489</v>
      </c>
      <c r="B407" t="str">
        <f>""</f>
        <v/>
      </c>
      <c r="C407" t="str">
        <f>""</f>
        <v/>
      </c>
      <c r="D407" t="str">
        <f t="shared" si="394"/>
        <v>SHIM</v>
      </c>
      <c r="E407" t="str">
        <f t="shared" si="382"/>
        <v>1Y</v>
      </c>
      <c r="F407" t="str">
        <f t="shared" si="383"/>
        <v>第１工場</v>
      </c>
      <c r="G407" t="str">
        <f t="shared" si="384"/>
        <v>手配</v>
      </c>
      <c r="H407" t="str">
        <f t="shared" si="385"/>
        <v>Ｐ</v>
      </c>
      <c r="I407" t="str">
        <f t="shared" si="370"/>
        <v>6454</v>
      </c>
      <c r="J407" t="str">
        <f t="shared" si="371"/>
        <v>（株）ムロコーポレーション</v>
      </c>
      <c r="K407" t="str">
        <f t="shared" si="368"/>
        <v>01</v>
      </c>
      <c r="L407" t="str">
        <f>""</f>
        <v/>
      </c>
      <c r="M407" t="str">
        <f t="shared" si="365"/>
        <v>――</v>
      </c>
      <c r="N407" t="str">
        <f t="shared" si="365"/>
        <v>――</v>
      </c>
      <c r="O407" t="str">
        <f t="shared" si="386"/>
        <v>Ｍ</v>
      </c>
      <c r="P407" t="str">
        <f t="shared" si="387"/>
        <v>01</v>
      </c>
      <c r="Q407" t="str">
        <f t="shared" si="388"/>
        <v>第１</v>
      </c>
      <c r="R407" t="str">
        <f t="shared" si="389"/>
        <v>1Y</v>
      </c>
      <c r="S407" t="str">
        <f t="shared" si="390"/>
        <v>安城第１工場</v>
      </c>
      <c r="T407" t="str">
        <f t="shared" si="391"/>
        <v>直接</v>
      </c>
      <c r="U407" t="str">
        <f>""</f>
        <v/>
      </c>
      <c r="V407" t="str">
        <f>""</f>
        <v/>
      </c>
      <c r="W407" t="str">
        <f>""</f>
        <v/>
      </c>
      <c r="X407">
        <v>1</v>
      </c>
      <c r="Y407">
        <v>1</v>
      </c>
      <c r="Z407">
        <v>0.73</v>
      </c>
      <c r="AA407">
        <v>0.93</v>
      </c>
      <c r="AB407">
        <v>3</v>
      </c>
      <c r="AC407">
        <v>0.93</v>
      </c>
      <c r="AD407">
        <v>0.93</v>
      </c>
      <c r="AE407">
        <v>1.1000000000000001</v>
      </c>
      <c r="AF407">
        <v>0.5</v>
      </c>
      <c r="AG407" t="str">
        <f t="shared" si="372"/>
        <v>205</v>
      </c>
      <c r="AH407" t="str">
        <f t="shared" si="373"/>
        <v>（株）ムロコーポレーション</v>
      </c>
      <c r="AI407" t="str">
        <f>"218"</f>
        <v>218</v>
      </c>
      <c r="AJ407" t="str">
        <f>"S-SM-4-17"</f>
        <v>S-SM-4-17</v>
      </c>
      <c r="AK407" t="str">
        <f>"10263"</f>
        <v>10263</v>
      </c>
      <c r="AL407" t="str">
        <f t="shared" si="395"/>
        <v>0370</v>
      </c>
      <c r="AM407" t="str">
        <f t="shared" si="396"/>
        <v>ｼﾑ</v>
      </c>
      <c r="AN407" t="str">
        <f t="shared" si="374"/>
        <v>012</v>
      </c>
      <c r="AO407" t="str">
        <f t="shared" si="375"/>
        <v>TP-131 ﾊﾝﾖｳ</v>
      </c>
      <c r="AP407">
        <v>100</v>
      </c>
      <c r="AQ407" t="str">
        <f>""</f>
        <v/>
      </c>
      <c r="AR407" t="str">
        <f>""</f>
        <v/>
      </c>
      <c r="AS407" t="str">
        <f>""</f>
        <v/>
      </c>
      <c r="AT407" t="str">
        <f t="shared" si="376"/>
        <v>00</v>
      </c>
      <c r="AU407">
        <v>0.5</v>
      </c>
      <c r="AV407" t="str">
        <f>""</f>
        <v/>
      </c>
      <c r="AW407" t="str">
        <f t="shared" si="397"/>
        <v>06</v>
      </c>
      <c r="AX407" t="str">
        <f t="shared" si="398"/>
        <v>計画</v>
      </c>
      <c r="AY407" t="str">
        <f t="shared" si="399"/>
        <v>02</v>
      </c>
      <c r="AZ407" t="str">
        <f t="shared" si="400"/>
        <v>計画・２社</v>
      </c>
      <c r="BA407" t="str">
        <f>""</f>
        <v/>
      </c>
      <c r="BB407" t="str">
        <f t="shared" si="377"/>
        <v>ＴＰ１３１フタナシ</v>
      </c>
      <c r="BC407" t="str">
        <f t="shared" si="378"/>
        <v xml:space="preserve"> 335.000</v>
      </c>
      <c r="BD407" t="str">
        <f t="shared" si="379"/>
        <v xml:space="preserve"> 168.000</v>
      </c>
      <c r="BE407" t="str">
        <f t="shared" si="380"/>
        <v xml:space="preserve"> 103.000</v>
      </c>
      <c r="BF407" t="str">
        <f t="shared" si="381"/>
        <v xml:space="preserve">   0.006</v>
      </c>
      <c r="BG407" t="str">
        <f t="shared" si="404"/>
        <v xml:space="preserve">   6.500</v>
      </c>
      <c r="BH407" t="str">
        <f t="shared" si="364"/>
        <v>しない</v>
      </c>
      <c r="BI407" t="str">
        <f>""</f>
        <v/>
      </c>
      <c r="BJ407" t="str">
        <f t="shared" si="403"/>
        <v>MASTER01</v>
      </c>
      <c r="BK407" t="str">
        <f t="shared" si="405"/>
        <v>2022/04/19</v>
      </c>
      <c r="BL407" t="str">
        <f t="shared" si="392"/>
        <v>NE00</v>
      </c>
      <c r="BM407" t="str">
        <f t="shared" si="393"/>
        <v>１工工務Ｇ</v>
      </c>
      <c r="BN407" t="str">
        <f t="shared" si="401"/>
        <v>46548</v>
      </c>
      <c r="BO407" t="str">
        <f t="shared" si="402"/>
        <v>長畑　玲奈</v>
      </c>
    </row>
    <row r="408" spans="1:67">
      <c r="A408" t="s">
        <v>490</v>
      </c>
      <c r="B408" t="str">
        <f>""</f>
        <v/>
      </c>
      <c r="C408" t="str">
        <f>""</f>
        <v/>
      </c>
      <c r="D408" t="str">
        <f t="shared" si="394"/>
        <v>SHIM</v>
      </c>
      <c r="E408" t="str">
        <f t="shared" si="382"/>
        <v>1Y</v>
      </c>
      <c r="F408" t="str">
        <f t="shared" si="383"/>
        <v>第１工場</v>
      </c>
      <c r="G408" t="str">
        <f t="shared" si="384"/>
        <v>手配</v>
      </c>
      <c r="H408" t="str">
        <f t="shared" si="385"/>
        <v>Ｐ</v>
      </c>
      <c r="I408" t="str">
        <f t="shared" si="370"/>
        <v>6454</v>
      </c>
      <c r="J408" t="str">
        <f t="shared" si="371"/>
        <v>（株）ムロコーポレーション</v>
      </c>
      <c r="K408" t="str">
        <f t="shared" si="368"/>
        <v>01</v>
      </c>
      <c r="L408" t="str">
        <f>""</f>
        <v/>
      </c>
      <c r="M408" t="str">
        <f t="shared" si="365"/>
        <v>――</v>
      </c>
      <c r="N408" t="str">
        <f t="shared" si="365"/>
        <v>――</v>
      </c>
      <c r="O408" t="str">
        <f t="shared" si="386"/>
        <v>Ｍ</v>
      </c>
      <c r="P408" t="str">
        <f t="shared" si="387"/>
        <v>01</v>
      </c>
      <c r="Q408" t="str">
        <f t="shared" si="388"/>
        <v>第１</v>
      </c>
      <c r="R408" t="str">
        <f t="shared" si="389"/>
        <v>1Y</v>
      </c>
      <c r="S408" t="str">
        <f t="shared" si="390"/>
        <v>安城第１工場</v>
      </c>
      <c r="T408" t="str">
        <f t="shared" si="391"/>
        <v>直接</v>
      </c>
      <c r="U408" t="str">
        <f>""</f>
        <v/>
      </c>
      <c r="V408" t="str">
        <f>""</f>
        <v/>
      </c>
      <c r="W408" t="str">
        <f>""</f>
        <v/>
      </c>
      <c r="X408">
        <v>1</v>
      </c>
      <c r="Y408">
        <v>1</v>
      </c>
      <c r="Z408">
        <v>0.73</v>
      </c>
      <c r="AA408">
        <v>0.93</v>
      </c>
      <c r="AB408">
        <v>3</v>
      </c>
      <c r="AC408">
        <v>0.93</v>
      </c>
      <c r="AD408">
        <v>0.93</v>
      </c>
      <c r="AE408">
        <v>1.1000000000000001</v>
      </c>
      <c r="AF408">
        <v>0.5</v>
      </c>
      <c r="AG408" t="str">
        <f t="shared" si="372"/>
        <v>205</v>
      </c>
      <c r="AH408" t="str">
        <f t="shared" si="373"/>
        <v>（株）ムロコーポレーション</v>
      </c>
      <c r="AI408" t="str">
        <f>"219"</f>
        <v>219</v>
      </c>
      <c r="AJ408" t="str">
        <f>"S-SM-4-18"</f>
        <v>S-SM-4-18</v>
      </c>
      <c r="AK408" t="str">
        <f>"10264"</f>
        <v>10264</v>
      </c>
      <c r="AL408" t="str">
        <f t="shared" si="395"/>
        <v>0370</v>
      </c>
      <c r="AM408" t="str">
        <f t="shared" si="396"/>
        <v>ｼﾑ</v>
      </c>
      <c r="AN408" t="str">
        <f t="shared" si="374"/>
        <v>012</v>
      </c>
      <c r="AO408" t="str">
        <f t="shared" si="375"/>
        <v>TP-131 ﾊﾝﾖｳ</v>
      </c>
      <c r="AP408">
        <v>100</v>
      </c>
      <c r="AQ408" t="str">
        <f>""</f>
        <v/>
      </c>
      <c r="AR408" t="str">
        <f>""</f>
        <v/>
      </c>
      <c r="AS408" t="str">
        <f>""</f>
        <v/>
      </c>
      <c r="AT408" t="str">
        <f t="shared" si="376"/>
        <v>00</v>
      </c>
      <c r="AU408">
        <v>0.5</v>
      </c>
      <c r="AV408" t="str">
        <f>""</f>
        <v/>
      </c>
      <c r="AW408" t="str">
        <f t="shared" si="397"/>
        <v>06</v>
      </c>
      <c r="AX408" t="str">
        <f t="shared" si="398"/>
        <v>計画</v>
      </c>
      <c r="AY408" t="str">
        <f t="shared" si="399"/>
        <v>02</v>
      </c>
      <c r="AZ408" t="str">
        <f t="shared" si="400"/>
        <v>計画・２社</v>
      </c>
      <c r="BA408" t="str">
        <f>""</f>
        <v/>
      </c>
      <c r="BB408" t="str">
        <f t="shared" si="377"/>
        <v>ＴＰ１３１フタナシ</v>
      </c>
      <c r="BC408" t="str">
        <f t="shared" si="378"/>
        <v xml:space="preserve"> 335.000</v>
      </c>
      <c r="BD408" t="str">
        <f t="shared" si="379"/>
        <v xml:space="preserve"> 168.000</v>
      </c>
      <c r="BE408" t="str">
        <f t="shared" si="380"/>
        <v xml:space="preserve"> 103.000</v>
      </c>
      <c r="BF408" t="str">
        <f t="shared" si="381"/>
        <v xml:space="preserve">   0.006</v>
      </c>
      <c r="BG408" t="str">
        <f t="shared" si="404"/>
        <v xml:space="preserve">   6.500</v>
      </c>
      <c r="BH408" t="str">
        <f t="shared" si="364"/>
        <v>しない</v>
      </c>
      <c r="BI408" t="str">
        <f>""</f>
        <v/>
      </c>
      <c r="BJ408" t="str">
        <f t="shared" si="403"/>
        <v>MASTER01</v>
      </c>
      <c r="BK408" t="str">
        <f t="shared" si="405"/>
        <v>2022/04/19</v>
      </c>
      <c r="BL408" t="str">
        <f t="shared" si="392"/>
        <v>NE00</v>
      </c>
      <c r="BM408" t="str">
        <f t="shared" si="393"/>
        <v>１工工務Ｇ</v>
      </c>
      <c r="BN408" t="str">
        <f t="shared" si="401"/>
        <v>46548</v>
      </c>
      <c r="BO408" t="str">
        <f t="shared" si="402"/>
        <v>長畑　玲奈</v>
      </c>
    </row>
    <row r="409" spans="1:67">
      <c r="A409" t="s">
        <v>491</v>
      </c>
      <c r="B409" t="str">
        <f>""</f>
        <v/>
      </c>
      <c r="C409" t="str">
        <f>""</f>
        <v/>
      </c>
      <c r="D409" t="str">
        <f t="shared" si="394"/>
        <v>SHIM</v>
      </c>
      <c r="E409" t="str">
        <f t="shared" si="382"/>
        <v>1Y</v>
      </c>
      <c r="F409" t="str">
        <f t="shared" si="383"/>
        <v>第１工場</v>
      </c>
      <c r="G409" t="str">
        <f t="shared" si="384"/>
        <v>手配</v>
      </c>
      <c r="H409" t="str">
        <f t="shared" si="385"/>
        <v>Ｐ</v>
      </c>
      <c r="I409" t="str">
        <f t="shared" si="370"/>
        <v>6454</v>
      </c>
      <c r="J409" t="str">
        <f t="shared" si="371"/>
        <v>（株）ムロコーポレーション</v>
      </c>
      <c r="K409" t="str">
        <f t="shared" si="368"/>
        <v>01</v>
      </c>
      <c r="L409" t="str">
        <f>""</f>
        <v/>
      </c>
      <c r="M409" t="str">
        <f t="shared" si="365"/>
        <v>――</v>
      </c>
      <c r="N409" t="str">
        <f t="shared" si="365"/>
        <v>――</v>
      </c>
      <c r="O409" t="str">
        <f t="shared" si="386"/>
        <v>Ｍ</v>
      </c>
      <c r="P409" t="str">
        <f t="shared" si="387"/>
        <v>01</v>
      </c>
      <c r="Q409" t="str">
        <f t="shared" si="388"/>
        <v>第１</v>
      </c>
      <c r="R409" t="str">
        <f t="shared" si="389"/>
        <v>1Y</v>
      </c>
      <c r="S409" t="str">
        <f t="shared" si="390"/>
        <v>安城第１工場</v>
      </c>
      <c r="T409" t="str">
        <f t="shared" si="391"/>
        <v>直接</v>
      </c>
      <c r="U409" t="str">
        <f>""</f>
        <v/>
      </c>
      <c r="V409" t="str">
        <f>""</f>
        <v/>
      </c>
      <c r="W409" t="str">
        <f>""</f>
        <v/>
      </c>
      <c r="X409">
        <v>1</v>
      </c>
      <c r="Y409">
        <v>1</v>
      </c>
      <c r="Z409">
        <v>0.73</v>
      </c>
      <c r="AA409">
        <v>0.93</v>
      </c>
      <c r="AB409">
        <v>3</v>
      </c>
      <c r="AC409">
        <v>0.93</v>
      </c>
      <c r="AD409">
        <v>0.93</v>
      </c>
      <c r="AE409">
        <v>1.1000000000000001</v>
      </c>
      <c r="AF409">
        <v>0.5</v>
      </c>
      <c r="AG409" t="str">
        <f t="shared" si="372"/>
        <v>205</v>
      </c>
      <c r="AH409" t="str">
        <f t="shared" si="373"/>
        <v>（株）ムロコーポレーション</v>
      </c>
      <c r="AI409" t="str">
        <f>"220"</f>
        <v>220</v>
      </c>
      <c r="AJ409" t="str">
        <f>"S-SM-4-19"</f>
        <v>S-SM-4-19</v>
      </c>
      <c r="AK409" t="str">
        <f>"10265"</f>
        <v>10265</v>
      </c>
      <c r="AL409" t="str">
        <f t="shared" si="395"/>
        <v>0370</v>
      </c>
      <c r="AM409" t="str">
        <f t="shared" si="396"/>
        <v>ｼﾑ</v>
      </c>
      <c r="AN409" t="str">
        <f t="shared" si="374"/>
        <v>012</v>
      </c>
      <c r="AO409" t="str">
        <f t="shared" si="375"/>
        <v>TP-131 ﾊﾝﾖｳ</v>
      </c>
      <c r="AP409">
        <v>100</v>
      </c>
      <c r="AQ409" t="str">
        <f>""</f>
        <v/>
      </c>
      <c r="AR409" t="str">
        <f>""</f>
        <v/>
      </c>
      <c r="AS409" t="str">
        <f>""</f>
        <v/>
      </c>
      <c r="AT409" t="str">
        <f t="shared" si="376"/>
        <v>00</v>
      </c>
      <c r="AU409">
        <v>0.5</v>
      </c>
      <c r="AV409" t="str">
        <f>""</f>
        <v/>
      </c>
      <c r="AW409" t="str">
        <f t="shared" si="397"/>
        <v>06</v>
      </c>
      <c r="AX409" t="str">
        <f t="shared" si="398"/>
        <v>計画</v>
      </c>
      <c r="AY409" t="str">
        <f t="shared" si="399"/>
        <v>02</v>
      </c>
      <c r="AZ409" t="str">
        <f t="shared" si="400"/>
        <v>計画・２社</v>
      </c>
      <c r="BA409" t="str">
        <f>""</f>
        <v/>
      </c>
      <c r="BB409" t="str">
        <f t="shared" si="377"/>
        <v>ＴＰ１３１フタナシ</v>
      </c>
      <c r="BC409" t="str">
        <f t="shared" si="378"/>
        <v xml:space="preserve"> 335.000</v>
      </c>
      <c r="BD409" t="str">
        <f t="shared" si="379"/>
        <v xml:space="preserve"> 168.000</v>
      </c>
      <c r="BE409" t="str">
        <f t="shared" si="380"/>
        <v xml:space="preserve"> 103.000</v>
      </c>
      <c r="BF409" t="str">
        <f t="shared" si="381"/>
        <v xml:space="preserve">   0.006</v>
      </c>
      <c r="BG409" t="str">
        <f t="shared" si="404"/>
        <v xml:space="preserve">   6.500</v>
      </c>
      <c r="BH409" t="str">
        <f t="shared" si="364"/>
        <v>しない</v>
      </c>
      <c r="BI409" t="str">
        <f>""</f>
        <v/>
      </c>
      <c r="BJ409" t="str">
        <f t="shared" si="403"/>
        <v>MASTER01</v>
      </c>
      <c r="BK409" t="str">
        <f t="shared" si="405"/>
        <v>2022/04/19</v>
      </c>
      <c r="BL409" t="str">
        <f t="shared" si="392"/>
        <v>NE00</v>
      </c>
      <c r="BM409" t="str">
        <f t="shared" si="393"/>
        <v>１工工務Ｇ</v>
      </c>
      <c r="BN409" t="str">
        <f t="shared" si="401"/>
        <v>46548</v>
      </c>
      <c r="BO409" t="str">
        <f t="shared" si="402"/>
        <v>長畑　玲奈</v>
      </c>
    </row>
    <row r="410" spans="1:67">
      <c r="A410" t="s">
        <v>492</v>
      </c>
      <c r="B410" t="str">
        <f>""</f>
        <v/>
      </c>
      <c r="C410" t="str">
        <f>""</f>
        <v/>
      </c>
      <c r="D410" t="str">
        <f t="shared" si="394"/>
        <v>SHIM</v>
      </c>
      <c r="E410" t="str">
        <f t="shared" si="382"/>
        <v>1Y</v>
      </c>
      <c r="F410" t="str">
        <f t="shared" si="383"/>
        <v>第１工場</v>
      </c>
      <c r="G410" t="str">
        <f t="shared" si="384"/>
        <v>手配</v>
      </c>
      <c r="H410" t="str">
        <f t="shared" si="385"/>
        <v>Ｐ</v>
      </c>
      <c r="I410" t="str">
        <f t="shared" si="370"/>
        <v>6454</v>
      </c>
      <c r="J410" t="str">
        <f t="shared" si="371"/>
        <v>（株）ムロコーポレーション</v>
      </c>
      <c r="K410" t="str">
        <f t="shared" si="368"/>
        <v>01</v>
      </c>
      <c r="L410" t="str">
        <f>""</f>
        <v/>
      </c>
      <c r="M410" t="str">
        <f t="shared" si="365"/>
        <v>――</v>
      </c>
      <c r="N410" t="str">
        <f t="shared" si="365"/>
        <v>――</v>
      </c>
      <c r="O410" t="str">
        <f t="shared" si="386"/>
        <v>Ｍ</v>
      </c>
      <c r="P410" t="str">
        <f t="shared" si="387"/>
        <v>01</v>
      </c>
      <c r="Q410" t="str">
        <f t="shared" si="388"/>
        <v>第１</v>
      </c>
      <c r="R410" t="str">
        <f t="shared" si="389"/>
        <v>1Y</v>
      </c>
      <c r="S410" t="str">
        <f t="shared" si="390"/>
        <v>安城第１工場</v>
      </c>
      <c r="T410" t="str">
        <f t="shared" si="391"/>
        <v>直接</v>
      </c>
      <c r="U410" t="str">
        <f>""</f>
        <v/>
      </c>
      <c r="V410" t="str">
        <f>""</f>
        <v/>
      </c>
      <c r="W410" t="str">
        <f>""</f>
        <v/>
      </c>
      <c r="X410">
        <v>1</v>
      </c>
      <c r="Y410">
        <v>1</v>
      </c>
      <c r="Z410">
        <v>0.73</v>
      </c>
      <c r="AA410">
        <v>0.93</v>
      </c>
      <c r="AB410">
        <v>3</v>
      </c>
      <c r="AC410">
        <v>0.93</v>
      </c>
      <c r="AD410">
        <v>0.93</v>
      </c>
      <c r="AE410">
        <v>1.1000000000000001</v>
      </c>
      <c r="AF410">
        <v>0.5</v>
      </c>
      <c r="AG410" t="str">
        <f t="shared" si="372"/>
        <v>205</v>
      </c>
      <c r="AH410" t="str">
        <f t="shared" si="373"/>
        <v>（株）ムロコーポレーション</v>
      </c>
      <c r="AI410" t="str">
        <f>"221"</f>
        <v>221</v>
      </c>
      <c r="AJ410" t="str">
        <f>"S-SM-4-20"</f>
        <v>S-SM-4-20</v>
      </c>
      <c r="AK410" t="str">
        <f>"10266"</f>
        <v>10266</v>
      </c>
      <c r="AL410" t="str">
        <f t="shared" si="395"/>
        <v>0370</v>
      </c>
      <c r="AM410" t="str">
        <f t="shared" si="396"/>
        <v>ｼﾑ</v>
      </c>
      <c r="AN410" t="str">
        <f t="shared" si="374"/>
        <v>012</v>
      </c>
      <c r="AO410" t="str">
        <f t="shared" si="375"/>
        <v>TP-131 ﾊﾝﾖｳ</v>
      </c>
      <c r="AP410">
        <v>100</v>
      </c>
      <c r="AQ410" t="str">
        <f>""</f>
        <v/>
      </c>
      <c r="AR410" t="str">
        <f>""</f>
        <v/>
      </c>
      <c r="AS410" t="str">
        <f>""</f>
        <v/>
      </c>
      <c r="AT410" t="str">
        <f t="shared" si="376"/>
        <v>00</v>
      </c>
      <c r="AU410">
        <v>0.5</v>
      </c>
      <c r="AV410" t="str">
        <f>""</f>
        <v/>
      </c>
      <c r="AW410" t="str">
        <f t="shared" si="397"/>
        <v>06</v>
      </c>
      <c r="AX410" t="str">
        <f t="shared" si="398"/>
        <v>計画</v>
      </c>
      <c r="AY410" t="str">
        <f t="shared" si="399"/>
        <v>02</v>
      </c>
      <c r="AZ410" t="str">
        <f t="shared" si="400"/>
        <v>計画・２社</v>
      </c>
      <c r="BA410" t="str">
        <f>""</f>
        <v/>
      </c>
      <c r="BB410" t="str">
        <f t="shared" si="377"/>
        <v>ＴＰ１３１フタナシ</v>
      </c>
      <c r="BC410" t="str">
        <f t="shared" si="378"/>
        <v xml:space="preserve"> 335.000</v>
      </c>
      <c r="BD410" t="str">
        <f t="shared" si="379"/>
        <v xml:space="preserve"> 168.000</v>
      </c>
      <c r="BE410" t="str">
        <f t="shared" si="380"/>
        <v xml:space="preserve"> 103.000</v>
      </c>
      <c r="BF410" t="str">
        <f t="shared" si="381"/>
        <v xml:space="preserve">   0.006</v>
      </c>
      <c r="BG410" t="str">
        <f t="shared" si="404"/>
        <v xml:space="preserve">   6.500</v>
      </c>
      <c r="BH410" t="str">
        <f t="shared" si="364"/>
        <v>しない</v>
      </c>
      <c r="BI410" t="str">
        <f>""</f>
        <v/>
      </c>
      <c r="BJ410" t="str">
        <f t="shared" si="403"/>
        <v>MASTER01</v>
      </c>
      <c r="BK410" t="str">
        <f t="shared" si="405"/>
        <v>2022/04/19</v>
      </c>
      <c r="BL410" t="str">
        <f t="shared" si="392"/>
        <v>NE00</v>
      </c>
      <c r="BM410" t="str">
        <f t="shared" si="393"/>
        <v>１工工務Ｇ</v>
      </c>
      <c r="BN410" t="str">
        <f t="shared" si="401"/>
        <v>46548</v>
      </c>
      <c r="BO410" t="str">
        <f t="shared" si="402"/>
        <v>長畑　玲奈</v>
      </c>
    </row>
    <row r="411" spans="1:67">
      <c r="A411" t="s">
        <v>493</v>
      </c>
      <c r="B411" t="str">
        <f>""</f>
        <v/>
      </c>
      <c r="C411" t="str">
        <f>""</f>
        <v/>
      </c>
      <c r="D411" t="str">
        <f t="shared" si="394"/>
        <v>SHIM</v>
      </c>
      <c r="E411" t="str">
        <f t="shared" si="382"/>
        <v>1Y</v>
      </c>
      <c r="F411" t="str">
        <f t="shared" si="383"/>
        <v>第１工場</v>
      </c>
      <c r="G411" t="str">
        <f t="shared" si="384"/>
        <v>手配</v>
      </c>
      <c r="H411" t="str">
        <f t="shared" si="385"/>
        <v>Ｐ</v>
      </c>
      <c r="I411" t="str">
        <f t="shared" si="370"/>
        <v>6454</v>
      </c>
      <c r="J411" t="str">
        <f t="shared" si="371"/>
        <v>（株）ムロコーポレーション</v>
      </c>
      <c r="K411" t="str">
        <f t="shared" si="368"/>
        <v>01</v>
      </c>
      <c r="L411" t="str">
        <f>""</f>
        <v/>
      </c>
      <c r="M411" t="str">
        <f t="shared" si="365"/>
        <v>――</v>
      </c>
      <c r="N411" t="str">
        <f t="shared" si="365"/>
        <v>――</v>
      </c>
      <c r="O411" t="str">
        <f t="shared" si="386"/>
        <v>Ｍ</v>
      </c>
      <c r="P411" t="str">
        <f t="shared" si="387"/>
        <v>01</v>
      </c>
      <c r="Q411" t="str">
        <f t="shared" si="388"/>
        <v>第１</v>
      </c>
      <c r="R411" t="str">
        <f t="shared" si="389"/>
        <v>1Y</v>
      </c>
      <c r="S411" t="str">
        <f t="shared" si="390"/>
        <v>安城第１工場</v>
      </c>
      <c r="T411" t="str">
        <f t="shared" si="391"/>
        <v>直接</v>
      </c>
      <c r="U411" t="str">
        <f>""</f>
        <v/>
      </c>
      <c r="V411" t="str">
        <f>""</f>
        <v/>
      </c>
      <c r="W411" t="str">
        <f>""</f>
        <v/>
      </c>
      <c r="X411">
        <v>1</v>
      </c>
      <c r="Y411">
        <v>1</v>
      </c>
      <c r="Z411">
        <v>0.73</v>
      </c>
      <c r="AA411">
        <v>0.93</v>
      </c>
      <c r="AB411">
        <v>3</v>
      </c>
      <c r="AC411">
        <v>0.93</v>
      </c>
      <c r="AD411">
        <v>0.93</v>
      </c>
      <c r="AE411">
        <v>1.1000000000000001</v>
      </c>
      <c r="AF411">
        <v>0.5</v>
      </c>
      <c r="AG411" t="str">
        <f t="shared" si="372"/>
        <v>205</v>
      </c>
      <c r="AH411" t="str">
        <f t="shared" si="373"/>
        <v>（株）ムロコーポレーション</v>
      </c>
      <c r="AI411" t="str">
        <f>"222"</f>
        <v>222</v>
      </c>
      <c r="AJ411" t="str">
        <f>"S-SM-4-21"</f>
        <v>S-SM-4-21</v>
      </c>
      <c r="AK411" t="str">
        <f>"10267"</f>
        <v>10267</v>
      </c>
      <c r="AL411" t="str">
        <f t="shared" si="395"/>
        <v>0370</v>
      </c>
      <c r="AM411" t="str">
        <f t="shared" si="396"/>
        <v>ｼﾑ</v>
      </c>
      <c r="AN411" t="str">
        <f t="shared" si="374"/>
        <v>012</v>
      </c>
      <c r="AO411" t="str">
        <f t="shared" si="375"/>
        <v>TP-131 ﾊﾝﾖｳ</v>
      </c>
      <c r="AP411">
        <v>100</v>
      </c>
      <c r="AQ411" t="str">
        <f>""</f>
        <v/>
      </c>
      <c r="AR411" t="str">
        <f>""</f>
        <v/>
      </c>
      <c r="AS411" t="str">
        <f>""</f>
        <v/>
      </c>
      <c r="AT411" t="str">
        <f t="shared" si="376"/>
        <v>00</v>
      </c>
      <c r="AU411">
        <v>0.5</v>
      </c>
      <c r="AV411" t="str">
        <f>""</f>
        <v/>
      </c>
      <c r="AW411" t="str">
        <f t="shared" si="397"/>
        <v>06</v>
      </c>
      <c r="AX411" t="str">
        <f t="shared" si="398"/>
        <v>計画</v>
      </c>
      <c r="AY411" t="str">
        <f t="shared" si="399"/>
        <v>02</v>
      </c>
      <c r="AZ411" t="str">
        <f t="shared" si="400"/>
        <v>計画・２社</v>
      </c>
      <c r="BA411" t="str">
        <f>""</f>
        <v/>
      </c>
      <c r="BB411" t="str">
        <f t="shared" si="377"/>
        <v>ＴＰ１３１フタナシ</v>
      </c>
      <c r="BC411" t="str">
        <f t="shared" si="378"/>
        <v xml:space="preserve"> 335.000</v>
      </c>
      <c r="BD411" t="str">
        <f t="shared" si="379"/>
        <v xml:space="preserve"> 168.000</v>
      </c>
      <c r="BE411" t="str">
        <f t="shared" si="380"/>
        <v xml:space="preserve"> 103.000</v>
      </c>
      <c r="BF411" t="str">
        <f t="shared" si="381"/>
        <v xml:space="preserve">   0.006</v>
      </c>
      <c r="BG411" t="str">
        <f t="shared" si="404"/>
        <v xml:space="preserve">   6.500</v>
      </c>
      <c r="BH411" t="str">
        <f t="shared" si="364"/>
        <v>しない</v>
      </c>
      <c r="BI411" t="str">
        <f>""</f>
        <v/>
      </c>
      <c r="BJ411" t="str">
        <f t="shared" si="403"/>
        <v>MASTER01</v>
      </c>
      <c r="BK411" t="str">
        <f t="shared" si="405"/>
        <v>2022/04/19</v>
      </c>
      <c r="BL411" t="str">
        <f t="shared" si="392"/>
        <v>NE00</v>
      </c>
      <c r="BM411" t="str">
        <f t="shared" si="393"/>
        <v>１工工務Ｇ</v>
      </c>
      <c r="BN411" t="str">
        <f t="shared" si="401"/>
        <v>46548</v>
      </c>
      <c r="BO411" t="str">
        <f t="shared" si="402"/>
        <v>長畑　玲奈</v>
      </c>
    </row>
    <row r="412" spans="1:67">
      <c r="A412" t="s">
        <v>494</v>
      </c>
      <c r="B412" t="str">
        <f>""</f>
        <v/>
      </c>
      <c r="C412" t="str">
        <f>""</f>
        <v/>
      </c>
      <c r="D412" t="str">
        <f t="shared" si="394"/>
        <v>SHIM</v>
      </c>
      <c r="E412" t="str">
        <f t="shared" si="382"/>
        <v>1Y</v>
      </c>
      <c r="F412" t="str">
        <f t="shared" si="383"/>
        <v>第１工場</v>
      </c>
      <c r="G412" t="str">
        <f t="shared" si="384"/>
        <v>手配</v>
      </c>
      <c r="H412" t="str">
        <f t="shared" si="385"/>
        <v>Ｐ</v>
      </c>
      <c r="I412" t="str">
        <f t="shared" si="370"/>
        <v>6454</v>
      </c>
      <c r="J412" t="str">
        <f t="shared" si="371"/>
        <v>（株）ムロコーポレーション</v>
      </c>
      <c r="K412" t="str">
        <f t="shared" si="368"/>
        <v>01</v>
      </c>
      <c r="L412" t="str">
        <f>""</f>
        <v/>
      </c>
      <c r="M412" t="str">
        <f t="shared" si="365"/>
        <v>――</v>
      </c>
      <c r="N412" t="str">
        <f t="shared" si="365"/>
        <v>――</v>
      </c>
      <c r="O412" t="str">
        <f t="shared" si="386"/>
        <v>Ｍ</v>
      </c>
      <c r="P412" t="str">
        <f t="shared" si="387"/>
        <v>01</v>
      </c>
      <c r="Q412" t="str">
        <f t="shared" si="388"/>
        <v>第１</v>
      </c>
      <c r="R412" t="str">
        <f t="shared" si="389"/>
        <v>1Y</v>
      </c>
      <c r="S412" t="str">
        <f t="shared" si="390"/>
        <v>安城第１工場</v>
      </c>
      <c r="T412" t="str">
        <f t="shared" si="391"/>
        <v>直接</v>
      </c>
      <c r="U412" t="str">
        <f>""</f>
        <v/>
      </c>
      <c r="V412" t="str">
        <f>""</f>
        <v/>
      </c>
      <c r="W412" t="str">
        <f>""</f>
        <v/>
      </c>
      <c r="X412">
        <v>1</v>
      </c>
      <c r="Y412">
        <v>1</v>
      </c>
      <c r="Z412">
        <v>0.73</v>
      </c>
      <c r="AA412">
        <v>0.93</v>
      </c>
      <c r="AB412">
        <v>3</v>
      </c>
      <c r="AC412">
        <v>0.93</v>
      </c>
      <c r="AD412">
        <v>0.93</v>
      </c>
      <c r="AE412">
        <v>1.1000000000000001</v>
      </c>
      <c r="AF412">
        <v>0.5</v>
      </c>
      <c r="AG412" t="str">
        <f t="shared" si="372"/>
        <v>205</v>
      </c>
      <c r="AH412" t="str">
        <f t="shared" si="373"/>
        <v>（株）ムロコーポレーション</v>
      </c>
      <c r="AI412" t="str">
        <f>"223"</f>
        <v>223</v>
      </c>
      <c r="AJ412" t="str">
        <f>"S-SM-4-22"</f>
        <v>S-SM-4-22</v>
      </c>
      <c r="AK412" t="str">
        <f>"10268"</f>
        <v>10268</v>
      </c>
      <c r="AL412" t="str">
        <f t="shared" si="395"/>
        <v>0370</v>
      </c>
      <c r="AM412" t="str">
        <f t="shared" si="396"/>
        <v>ｼﾑ</v>
      </c>
      <c r="AN412" t="str">
        <f t="shared" si="374"/>
        <v>012</v>
      </c>
      <c r="AO412" t="str">
        <f t="shared" si="375"/>
        <v>TP-131 ﾊﾝﾖｳ</v>
      </c>
      <c r="AP412">
        <v>100</v>
      </c>
      <c r="AQ412" t="str">
        <f>""</f>
        <v/>
      </c>
      <c r="AR412" t="str">
        <f>""</f>
        <v/>
      </c>
      <c r="AS412" t="str">
        <f>""</f>
        <v/>
      </c>
      <c r="AT412" t="str">
        <f t="shared" si="376"/>
        <v>00</v>
      </c>
      <c r="AU412">
        <v>0.5</v>
      </c>
      <c r="AV412" t="str">
        <f>""</f>
        <v/>
      </c>
      <c r="AW412" t="str">
        <f t="shared" si="397"/>
        <v>06</v>
      </c>
      <c r="AX412" t="str">
        <f t="shared" si="398"/>
        <v>計画</v>
      </c>
      <c r="AY412" t="str">
        <f t="shared" si="399"/>
        <v>02</v>
      </c>
      <c r="AZ412" t="str">
        <f t="shared" si="400"/>
        <v>計画・２社</v>
      </c>
      <c r="BA412" t="str">
        <f>""</f>
        <v/>
      </c>
      <c r="BB412" t="str">
        <f t="shared" si="377"/>
        <v>ＴＰ１３１フタナシ</v>
      </c>
      <c r="BC412" t="str">
        <f t="shared" si="378"/>
        <v xml:space="preserve"> 335.000</v>
      </c>
      <c r="BD412" t="str">
        <f t="shared" si="379"/>
        <v xml:space="preserve"> 168.000</v>
      </c>
      <c r="BE412" t="str">
        <f t="shared" si="380"/>
        <v xml:space="preserve"> 103.000</v>
      </c>
      <c r="BF412" t="str">
        <f t="shared" si="381"/>
        <v xml:space="preserve">   0.006</v>
      </c>
      <c r="BG412" t="str">
        <f t="shared" si="404"/>
        <v xml:space="preserve">   6.500</v>
      </c>
      <c r="BH412" t="str">
        <f t="shared" si="364"/>
        <v>しない</v>
      </c>
      <c r="BI412" t="str">
        <f>""</f>
        <v/>
      </c>
      <c r="BJ412" t="str">
        <f t="shared" si="403"/>
        <v>MASTER01</v>
      </c>
      <c r="BK412" t="str">
        <f t="shared" si="405"/>
        <v>2022/04/19</v>
      </c>
      <c r="BL412" t="str">
        <f t="shared" si="392"/>
        <v>NE00</v>
      </c>
      <c r="BM412" t="str">
        <f t="shared" si="393"/>
        <v>１工工務Ｇ</v>
      </c>
      <c r="BN412" t="str">
        <f t="shared" si="401"/>
        <v>46548</v>
      </c>
      <c r="BO412" t="str">
        <f t="shared" si="402"/>
        <v>長畑　玲奈</v>
      </c>
    </row>
    <row r="413" spans="1:67">
      <c r="A413" t="s">
        <v>495</v>
      </c>
      <c r="B413" t="str">
        <f>""</f>
        <v/>
      </c>
      <c r="C413" t="str">
        <f>""</f>
        <v/>
      </c>
      <c r="D413" t="str">
        <f t="shared" si="394"/>
        <v>SHIM</v>
      </c>
      <c r="E413" t="str">
        <f t="shared" si="382"/>
        <v>1Y</v>
      </c>
      <c r="F413" t="str">
        <f t="shared" si="383"/>
        <v>第１工場</v>
      </c>
      <c r="G413" t="str">
        <f t="shared" si="384"/>
        <v>手配</v>
      </c>
      <c r="H413" t="str">
        <f t="shared" si="385"/>
        <v>Ｐ</v>
      </c>
      <c r="I413" t="str">
        <f t="shared" si="370"/>
        <v>6454</v>
      </c>
      <c r="J413" t="str">
        <f t="shared" si="371"/>
        <v>（株）ムロコーポレーション</v>
      </c>
      <c r="K413" t="str">
        <f t="shared" si="368"/>
        <v>01</v>
      </c>
      <c r="L413" t="str">
        <f>""</f>
        <v/>
      </c>
      <c r="M413" t="str">
        <f t="shared" si="365"/>
        <v>――</v>
      </c>
      <c r="N413" t="str">
        <f t="shared" si="365"/>
        <v>――</v>
      </c>
      <c r="O413" t="str">
        <f t="shared" si="386"/>
        <v>Ｍ</v>
      </c>
      <c r="P413" t="str">
        <f t="shared" si="387"/>
        <v>01</v>
      </c>
      <c r="Q413" t="str">
        <f t="shared" si="388"/>
        <v>第１</v>
      </c>
      <c r="R413" t="str">
        <f t="shared" si="389"/>
        <v>1Y</v>
      </c>
      <c r="S413" t="str">
        <f t="shared" si="390"/>
        <v>安城第１工場</v>
      </c>
      <c r="T413" t="str">
        <f t="shared" si="391"/>
        <v>直接</v>
      </c>
      <c r="U413" t="str">
        <f>""</f>
        <v/>
      </c>
      <c r="V413" t="str">
        <f>""</f>
        <v/>
      </c>
      <c r="W413" t="str">
        <f>""</f>
        <v/>
      </c>
      <c r="X413">
        <v>1</v>
      </c>
      <c r="Y413">
        <v>1</v>
      </c>
      <c r="Z413">
        <v>0.73</v>
      </c>
      <c r="AA413">
        <v>0.93</v>
      </c>
      <c r="AB413">
        <v>3</v>
      </c>
      <c r="AC413">
        <v>0.93</v>
      </c>
      <c r="AD413">
        <v>0.93</v>
      </c>
      <c r="AE413">
        <v>1.1000000000000001</v>
      </c>
      <c r="AF413">
        <v>0.5</v>
      </c>
      <c r="AG413" t="str">
        <f t="shared" si="372"/>
        <v>205</v>
      </c>
      <c r="AH413" t="str">
        <f t="shared" si="373"/>
        <v>（株）ムロコーポレーション</v>
      </c>
      <c r="AI413" t="str">
        <f>"224"</f>
        <v>224</v>
      </c>
      <c r="AJ413" t="str">
        <f>"S-SM-4-23"</f>
        <v>S-SM-4-23</v>
      </c>
      <c r="AK413" t="str">
        <f>"10269"</f>
        <v>10269</v>
      </c>
      <c r="AL413" t="str">
        <f t="shared" si="395"/>
        <v>0370</v>
      </c>
      <c r="AM413" t="str">
        <f t="shared" si="396"/>
        <v>ｼﾑ</v>
      </c>
      <c r="AN413" t="str">
        <f t="shared" si="374"/>
        <v>012</v>
      </c>
      <c r="AO413" t="str">
        <f t="shared" si="375"/>
        <v>TP-131 ﾊﾝﾖｳ</v>
      </c>
      <c r="AP413">
        <v>100</v>
      </c>
      <c r="AQ413" t="str">
        <f>""</f>
        <v/>
      </c>
      <c r="AR413" t="str">
        <f>""</f>
        <v/>
      </c>
      <c r="AS413" t="str">
        <f>""</f>
        <v/>
      </c>
      <c r="AT413" t="str">
        <f t="shared" si="376"/>
        <v>00</v>
      </c>
      <c r="AU413">
        <v>0.5</v>
      </c>
      <c r="AV413" t="str">
        <f>""</f>
        <v/>
      </c>
      <c r="AW413" t="str">
        <f t="shared" si="397"/>
        <v>06</v>
      </c>
      <c r="AX413" t="str">
        <f t="shared" si="398"/>
        <v>計画</v>
      </c>
      <c r="AY413" t="str">
        <f t="shared" si="399"/>
        <v>02</v>
      </c>
      <c r="AZ413" t="str">
        <f t="shared" si="400"/>
        <v>計画・２社</v>
      </c>
      <c r="BA413" t="str">
        <f>""</f>
        <v/>
      </c>
      <c r="BB413" t="str">
        <f t="shared" si="377"/>
        <v>ＴＰ１３１フタナシ</v>
      </c>
      <c r="BC413" t="str">
        <f t="shared" si="378"/>
        <v xml:space="preserve"> 335.000</v>
      </c>
      <c r="BD413" t="str">
        <f t="shared" si="379"/>
        <v xml:space="preserve"> 168.000</v>
      </c>
      <c r="BE413" t="str">
        <f t="shared" si="380"/>
        <v xml:space="preserve"> 103.000</v>
      </c>
      <c r="BF413" t="str">
        <f t="shared" si="381"/>
        <v xml:space="preserve">   0.006</v>
      </c>
      <c r="BG413" t="str">
        <f t="shared" si="404"/>
        <v xml:space="preserve">   6.500</v>
      </c>
      <c r="BH413" t="str">
        <f t="shared" si="364"/>
        <v>しない</v>
      </c>
      <c r="BI413" t="str">
        <f>""</f>
        <v/>
      </c>
      <c r="BJ413" t="str">
        <f t="shared" si="403"/>
        <v>MASTER01</v>
      </c>
      <c r="BK413" t="str">
        <f t="shared" si="405"/>
        <v>2022/04/19</v>
      </c>
      <c r="BL413" t="str">
        <f t="shared" si="392"/>
        <v>NE00</v>
      </c>
      <c r="BM413" t="str">
        <f t="shared" si="393"/>
        <v>１工工務Ｇ</v>
      </c>
      <c r="BN413" t="str">
        <f t="shared" si="401"/>
        <v>46548</v>
      </c>
      <c r="BO413" t="str">
        <f t="shared" si="402"/>
        <v>長畑　玲奈</v>
      </c>
    </row>
    <row r="414" spans="1:67">
      <c r="A414" t="s">
        <v>496</v>
      </c>
      <c r="B414" t="str">
        <f>""</f>
        <v/>
      </c>
      <c r="C414" t="str">
        <f>""</f>
        <v/>
      </c>
      <c r="D414" t="str">
        <f t="shared" si="394"/>
        <v>SHIM</v>
      </c>
      <c r="E414" t="str">
        <f t="shared" si="382"/>
        <v>1Y</v>
      </c>
      <c r="F414" t="str">
        <f t="shared" si="383"/>
        <v>第１工場</v>
      </c>
      <c r="G414" t="str">
        <f t="shared" si="384"/>
        <v>手配</v>
      </c>
      <c r="H414" t="str">
        <f t="shared" si="385"/>
        <v>Ｐ</v>
      </c>
      <c r="I414" t="str">
        <f t="shared" si="370"/>
        <v>6454</v>
      </c>
      <c r="J414" t="str">
        <f t="shared" si="371"/>
        <v>（株）ムロコーポレーション</v>
      </c>
      <c r="K414" t="str">
        <f t="shared" si="368"/>
        <v>01</v>
      </c>
      <c r="L414" t="str">
        <f>""</f>
        <v/>
      </c>
      <c r="M414" t="str">
        <f t="shared" si="365"/>
        <v>――</v>
      </c>
      <c r="N414" t="str">
        <f t="shared" si="365"/>
        <v>――</v>
      </c>
      <c r="O414" t="str">
        <f t="shared" si="386"/>
        <v>Ｍ</v>
      </c>
      <c r="P414" t="str">
        <f t="shared" si="387"/>
        <v>01</v>
      </c>
      <c r="Q414" t="str">
        <f t="shared" si="388"/>
        <v>第１</v>
      </c>
      <c r="R414" t="str">
        <f t="shared" si="389"/>
        <v>1Y</v>
      </c>
      <c r="S414" t="str">
        <f t="shared" si="390"/>
        <v>安城第１工場</v>
      </c>
      <c r="T414" t="str">
        <f t="shared" si="391"/>
        <v>直接</v>
      </c>
      <c r="U414" t="str">
        <f>""</f>
        <v/>
      </c>
      <c r="V414" t="str">
        <f>""</f>
        <v/>
      </c>
      <c r="W414" t="str">
        <f>""</f>
        <v/>
      </c>
      <c r="X414">
        <v>1</v>
      </c>
      <c r="Y414">
        <v>1</v>
      </c>
      <c r="Z414">
        <v>0.73</v>
      </c>
      <c r="AA414">
        <v>0.93</v>
      </c>
      <c r="AB414">
        <v>3</v>
      </c>
      <c r="AC414">
        <v>0.93</v>
      </c>
      <c r="AD414">
        <v>0.93</v>
      </c>
      <c r="AE414">
        <v>1.1000000000000001</v>
      </c>
      <c r="AF414">
        <v>0.5</v>
      </c>
      <c r="AG414" t="str">
        <f t="shared" si="372"/>
        <v>205</v>
      </c>
      <c r="AH414" t="str">
        <f t="shared" si="373"/>
        <v>（株）ムロコーポレーション</v>
      </c>
      <c r="AI414" t="str">
        <f>"225"</f>
        <v>225</v>
      </c>
      <c r="AJ414" t="str">
        <f>"S-SM-4-24"</f>
        <v>S-SM-4-24</v>
      </c>
      <c r="AK414" t="str">
        <f>"10270"</f>
        <v>10270</v>
      </c>
      <c r="AL414" t="str">
        <f t="shared" si="395"/>
        <v>0370</v>
      </c>
      <c r="AM414" t="str">
        <f t="shared" si="396"/>
        <v>ｼﾑ</v>
      </c>
      <c r="AN414" t="str">
        <f t="shared" si="374"/>
        <v>012</v>
      </c>
      <c r="AO414" t="str">
        <f t="shared" si="375"/>
        <v>TP-131 ﾊﾝﾖｳ</v>
      </c>
      <c r="AP414">
        <v>100</v>
      </c>
      <c r="AQ414" t="str">
        <f>""</f>
        <v/>
      </c>
      <c r="AR414" t="str">
        <f>""</f>
        <v/>
      </c>
      <c r="AS414" t="str">
        <f>""</f>
        <v/>
      </c>
      <c r="AT414" t="str">
        <f t="shared" si="376"/>
        <v>00</v>
      </c>
      <c r="AU414">
        <v>0.5</v>
      </c>
      <c r="AV414" t="str">
        <f>""</f>
        <v/>
      </c>
      <c r="AW414" t="str">
        <f t="shared" si="397"/>
        <v>06</v>
      </c>
      <c r="AX414" t="str">
        <f t="shared" si="398"/>
        <v>計画</v>
      </c>
      <c r="AY414" t="str">
        <f t="shared" si="399"/>
        <v>02</v>
      </c>
      <c r="AZ414" t="str">
        <f t="shared" si="400"/>
        <v>計画・２社</v>
      </c>
      <c r="BA414" t="str">
        <f>""</f>
        <v/>
      </c>
      <c r="BB414" t="str">
        <f t="shared" si="377"/>
        <v>ＴＰ１３１フタナシ</v>
      </c>
      <c r="BC414" t="str">
        <f t="shared" si="378"/>
        <v xml:space="preserve"> 335.000</v>
      </c>
      <c r="BD414" t="str">
        <f t="shared" si="379"/>
        <v xml:space="preserve"> 168.000</v>
      </c>
      <c r="BE414" t="str">
        <f t="shared" si="380"/>
        <v xml:space="preserve"> 103.000</v>
      </c>
      <c r="BF414" t="str">
        <f t="shared" si="381"/>
        <v xml:space="preserve">   0.006</v>
      </c>
      <c r="BG414" t="str">
        <f t="shared" si="404"/>
        <v xml:space="preserve">   6.500</v>
      </c>
      <c r="BH414" t="str">
        <f t="shared" si="364"/>
        <v>しない</v>
      </c>
      <c r="BI414" t="str">
        <f>""</f>
        <v/>
      </c>
      <c r="BJ414" t="str">
        <f t="shared" si="403"/>
        <v>MASTER01</v>
      </c>
      <c r="BK414" t="str">
        <f t="shared" si="405"/>
        <v>2022/04/19</v>
      </c>
      <c r="BL414" t="str">
        <f t="shared" si="392"/>
        <v>NE00</v>
      </c>
      <c r="BM414" t="str">
        <f t="shared" si="393"/>
        <v>１工工務Ｇ</v>
      </c>
      <c r="BN414" t="str">
        <f t="shared" si="401"/>
        <v>46548</v>
      </c>
      <c r="BO414" t="str">
        <f t="shared" si="402"/>
        <v>長畑　玲奈</v>
      </c>
    </row>
    <row r="415" spans="1:67">
      <c r="A415" t="s">
        <v>497</v>
      </c>
      <c r="B415" t="str">
        <f>""</f>
        <v/>
      </c>
      <c r="C415" t="str">
        <f>""</f>
        <v/>
      </c>
      <c r="D415" t="str">
        <f t="shared" si="394"/>
        <v>SHIM</v>
      </c>
      <c r="E415" t="str">
        <f t="shared" si="382"/>
        <v>1Y</v>
      </c>
      <c r="F415" t="str">
        <f t="shared" si="383"/>
        <v>第１工場</v>
      </c>
      <c r="G415" t="str">
        <f t="shared" si="384"/>
        <v>手配</v>
      </c>
      <c r="H415" t="str">
        <f t="shared" si="385"/>
        <v>Ｐ</v>
      </c>
      <c r="I415" t="str">
        <f t="shared" si="370"/>
        <v>6454</v>
      </c>
      <c r="J415" t="str">
        <f t="shared" si="371"/>
        <v>（株）ムロコーポレーション</v>
      </c>
      <c r="K415" t="str">
        <f t="shared" si="368"/>
        <v>01</v>
      </c>
      <c r="L415" t="str">
        <f>""</f>
        <v/>
      </c>
      <c r="M415" t="str">
        <f t="shared" si="365"/>
        <v>――</v>
      </c>
      <c r="N415" t="str">
        <f t="shared" si="365"/>
        <v>――</v>
      </c>
      <c r="O415" t="str">
        <f t="shared" si="386"/>
        <v>Ｍ</v>
      </c>
      <c r="P415" t="str">
        <f t="shared" si="387"/>
        <v>01</v>
      </c>
      <c r="Q415" t="str">
        <f t="shared" si="388"/>
        <v>第１</v>
      </c>
      <c r="R415" t="str">
        <f t="shared" si="389"/>
        <v>1Y</v>
      </c>
      <c r="S415" t="str">
        <f t="shared" si="390"/>
        <v>安城第１工場</v>
      </c>
      <c r="T415" t="str">
        <f t="shared" si="391"/>
        <v>直接</v>
      </c>
      <c r="U415" t="str">
        <f>""</f>
        <v/>
      </c>
      <c r="V415" t="str">
        <f>""</f>
        <v/>
      </c>
      <c r="W415" t="str">
        <f>""</f>
        <v/>
      </c>
      <c r="X415">
        <v>1</v>
      </c>
      <c r="Y415">
        <v>1</v>
      </c>
      <c r="Z415">
        <v>0.73</v>
      </c>
      <c r="AA415">
        <v>0.93</v>
      </c>
      <c r="AB415">
        <v>3</v>
      </c>
      <c r="AC415">
        <v>0.93</v>
      </c>
      <c r="AD415">
        <v>0.93</v>
      </c>
      <c r="AE415">
        <v>1.1000000000000001</v>
      </c>
      <c r="AF415">
        <v>0.5</v>
      </c>
      <c r="AG415" t="str">
        <f t="shared" si="372"/>
        <v>205</v>
      </c>
      <c r="AH415" t="str">
        <f t="shared" si="373"/>
        <v>（株）ムロコーポレーション</v>
      </c>
      <c r="AI415" t="str">
        <f>"226"</f>
        <v>226</v>
      </c>
      <c r="AJ415" t="str">
        <f>"S-SM-4-25"</f>
        <v>S-SM-4-25</v>
      </c>
      <c r="AK415" t="str">
        <f>"10271"</f>
        <v>10271</v>
      </c>
      <c r="AL415" t="str">
        <f t="shared" si="395"/>
        <v>0370</v>
      </c>
      <c r="AM415" t="str">
        <f t="shared" si="396"/>
        <v>ｼﾑ</v>
      </c>
      <c r="AN415" t="str">
        <f t="shared" si="374"/>
        <v>012</v>
      </c>
      <c r="AO415" t="str">
        <f t="shared" si="375"/>
        <v>TP-131 ﾊﾝﾖｳ</v>
      </c>
      <c r="AP415">
        <v>100</v>
      </c>
      <c r="AQ415" t="str">
        <f>""</f>
        <v/>
      </c>
      <c r="AR415" t="str">
        <f>""</f>
        <v/>
      </c>
      <c r="AS415" t="str">
        <f>""</f>
        <v/>
      </c>
      <c r="AT415" t="str">
        <f t="shared" si="376"/>
        <v>00</v>
      </c>
      <c r="AU415">
        <v>0.5</v>
      </c>
      <c r="AV415" t="str">
        <f>""</f>
        <v/>
      </c>
      <c r="AW415" t="str">
        <f t="shared" si="397"/>
        <v>06</v>
      </c>
      <c r="AX415" t="str">
        <f t="shared" si="398"/>
        <v>計画</v>
      </c>
      <c r="AY415" t="str">
        <f t="shared" si="399"/>
        <v>02</v>
      </c>
      <c r="AZ415" t="str">
        <f t="shared" si="400"/>
        <v>計画・２社</v>
      </c>
      <c r="BA415" t="str">
        <f>""</f>
        <v/>
      </c>
      <c r="BB415" t="str">
        <f t="shared" si="377"/>
        <v>ＴＰ１３１フタナシ</v>
      </c>
      <c r="BC415" t="str">
        <f t="shared" si="378"/>
        <v xml:space="preserve"> 335.000</v>
      </c>
      <c r="BD415" t="str">
        <f t="shared" si="379"/>
        <v xml:space="preserve"> 168.000</v>
      </c>
      <c r="BE415" t="str">
        <f t="shared" si="380"/>
        <v xml:space="preserve"> 103.000</v>
      </c>
      <c r="BF415" t="str">
        <f t="shared" si="381"/>
        <v xml:space="preserve">   0.006</v>
      </c>
      <c r="BG415" t="str">
        <f t="shared" si="404"/>
        <v xml:space="preserve">   6.500</v>
      </c>
      <c r="BH415" t="str">
        <f t="shared" si="364"/>
        <v>しない</v>
      </c>
      <c r="BI415" t="str">
        <f>""</f>
        <v/>
      </c>
      <c r="BJ415" t="str">
        <f t="shared" si="403"/>
        <v>MASTER01</v>
      </c>
      <c r="BK415" t="str">
        <f t="shared" si="405"/>
        <v>2022/04/19</v>
      </c>
      <c r="BL415" t="str">
        <f t="shared" si="392"/>
        <v>NE00</v>
      </c>
      <c r="BM415" t="str">
        <f t="shared" si="393"/>
        <v>１工工務Ｇ</v>
      </c>
      <c r="BN415" t="str">
        <f t="shared" si="401"/>
        <v>46548</v>
      </c>
      <c r="BO415" t="str">
        <f t="shared" si="402"/>
        <v>長畑　玲奈</v>
      </c>
    </row>
    <row r="416" spans="1:67">
      <c r="A416" t="s">
        <v>498</v>
      </c>
      <c r="B416" t="str">
        <f>""</f>
        <v/>
      </c>
      <c r="C416" t="str">
        <f>""</f>
        <v/>
      </c>
      <c r="D416" t="str">
        <f t="shared" si="394"/>
        <v>SHIM</v>
      </c>
      <c r="E416" t="str">
        <f t="shared" si="382"/>
        <v>1Y</v>
      </c>
      <c r="F416" t="str">
        <f t="shared" si="383"/>
        <v>第１工場</v>
      </c>
      <c r="G416" t="str">
        <f t="shared" si="384"/>
        <v>手配</v>
      </c>
      <c r="H416" t="str">
        <f t="shared" si="385"/>
        <v>Ｐ</v>
      </c>
      <c r="I416" t="str">
        <f t="shared" si="370"/>
        <v>6454</v>
      </c>
      <c r="J416" t="str">
        <f t="shared" si="371"/>
        <v>（株）ムロコーポレーション</v>
      </c>
      <c r="K416" t="str">
        <f t="shared" si="368"/>
        <v>01</v>
      </c>
      <c r="L416" t="str">
        <f>""</f>
        <v/>
      </c>
      <c r="M416" t="str">
        <f t="shared" si="365"/>
        <v>――</v>
      </c>
      <c r="N416" t="str">
        <f t="shared" si="365"/>
        <v>――</v>
      </c>
      <c r="O416" t="str">
        <f t="shared" si="386"/>
        <v>Ｍ</v>
      </c>
      <c r="P416" t="str">
        <f t="shared" si="387"/>
        <v>01</v>
      </c>
      <c r="Q416" t="str">
        <f t="shared" si="388"/>
        <v>第１</v>
      </c>
      <c r="R416" t="str">
        <f t="shared" si="389"/>
        <v>1Y</v>
      </c>
      <c r="S416" t="str">
        <f t="shared" si="390"/>
        <v>安城第１工場</v>
      </c>
      <c r="T416" t="str">
        <f t="shared" si="391"/>
        <v>直接</v>
      </c>
      <c r="U416" t="str">
        <f>""</f>
        <v/>
      </c>
      <c r="V416" t="str">
        <f>""</f>
        <v/>
      </c>
      <c r="W416" t="str">
        <f>""</f>
        <v/>
      </c>
      <c r="X416">
        <v>1</v>
      </c>
      <c r="Y416">
        <v>1</v>
      </c>
      <c r="Z416">
        <v>0.73</v>
      </c>
      <c r="AA416">
        <v>0.93</v>
      </c>
      <c r="AB416">
        <v>3</v>
      </c>
      <c r="AC416">
        <v>0.93</v>
      </c>
      <c r="AD416">
        <v>0.93</v>
      </c>
      <c r="AE416">
        <v>1.1000000000000001</v>
      </c>
      <c r="AF416">
        <v>0.5</v>
      </c>
      <c r="AG416" t="str">
        <f t="shared" si="372"/>
        <v>205</v>
      </c>
      <c r="AH416" t="str">
        <f t="shared" si="373"/>
        <v>（株）ムロコーポレーション</v>
      </c>
      <c r="AI416" t="str">
        <f>"227"</f>
        <v>227</v>
      </c>
      <c r="AJ416" t="str">
        <f>"S-SM-4-26"</f>
        <v>S-SM-4-26</v>
      </c>
      <c r="AK416" t="str">
        <f>"10272"</f>
        <v>10272</v>
      </c>
      <c r="AL416" t="str">
        <f t="shared" si="395"/>
        <v>0370</v>
      </c>
      <c r="AM416" t="str">
        <f t="shared" si="396"/>
        <v>ｼﾑ</v>
      </c>
      <c r="AN416" t="str">
        <f t="shared" si="374"/>
        <v>012</v>
      </c>
      <c r="AO416" t="str">
        <f t="shared" si="375"/>
        <v>TP-131 ﾊﾝﾖｳ</v>
      </c>
      <c r="AP416">
        <v>100</v>
      </c>
      <c r="AQ416" t="str">
        <f>""</f>
        <v/>
      </c>
      <c r="AR416" t="str">
        <f>""</f>
        <v/>
      </c>
      <c r="AS416" t="str">
        <f>""</f>
        <v/>
      </c>
      <c r="AT416" t="str">
        <f t="shared" si="376"/>
        <v>00</v>
      </c>
      <c r="AU416">
        <v>0.5</v>
      </c>
      <c r="AV416" t="str">
        <f>""</f>
        <v/>
      </c>
      <c r="AW416" t="str">
        <f t="shared" si="397"/>
        <v>06</v>
      </c>
      <c r="AX416" t="str">
        <f t="shared" si="398"/>
        <v>計画</v>
      </c>
      <c r="AY416" t="str">
        <f t="shared" si="399"/>
        <v>02</v>
      </c>
      <c r="AZ416" t="str">
        <f t="shared" si="400"/>
        <v>計画・２社</v>
      </c>
      <c r="BA416" t="str">
        <f>""</f>
        <v/>
      </c>
      <c r="BB416" t="str">
        <f t="shared" si="377"/>
        <v>ＴＰ１３１フタナシ</v>
      </c>
      <c r="BC416" t="str">
        <f t="shared" si="378"/>
        <v xml:space="preserve"> 335.000</v>
      </c>
      <c r="BD416" t="str">
        <f t="shared" si="379"/>
        <v xml:space="preserve"> 168.000</v>
      </c>
      <c r="BE416" t="str">
        <f t="shared" si="380"/>
        <v xml:space="preserve"> 103.000</v>
      </c>
      <c r="BF416" t="str">
        <f t="shared" si="381"/>
        <v xml:space="preserve">   0.006</v>
      </c>
      <c r="BG416" t="str">
        <f t="shared" si="404"/>
        <v xml:space="preserve">   6.500</v>
      </c>
      <c r="BH416" t="str">
        <f t="shared" si="364"/>
        <v>しない</v>
      </c>
      <c r="BI416" t="str">
        <f>""</f>
        <v/>
      </c>
      <c r="BJ416" t="str">
        <f t="shared" si="403"/>
        <v>MASTER01</v>
      </c>
      <c r="BK416" t="str">
        <f t="shared" si="405"/>
        <v>2022/04/19</v>
      </c>
      <c r="BL416" t="str">
        <f t="shared" si="392"/>
        <v>NE00</v>
      </c>
      <c r="BM416" t="str">
        <f t="shared" si="393"/>
        <v>１工工務Ｇ</v>
      </c>
      <c r="BN416" t="str">
        <f t="shared" si="401"/>
        <v>46548</v>
      </c>
      <c r="BO416" t="str">
        <f t="shared" si="402"/>
        <v>長畑　玲奈</v>
      </c>
    </row>
    <row r="417" spans="1:67">
      <c r="A417" t="s">
        <v>499</v>
      </c>
      <c r="B417" t="str">
        <f>""</f>
        <v/>
      </c>
      <c r="C417" t="str">
        <f>""</f>
        <v/>
      </c>
      <c r="D417" t="str">
        <f t="shared" si="394"/>
        <v>SHIM</v>
      </c>
      <c r="E417" t="str">
        <f t="shared" si="382"/>
        <v>1Y</v>
      </c>
      <c r="F417" t="str">
        <f t="shared" si="383"/>
        <v>第１工場</v>
      </c>
      <c r="G417" t="str">
        <f t="shared" si="384"/>
        <v>手配</v>
      </c>
      <c r="H417" t="str">
        <f t="shared" si="385"/>
        <v>Ｐ</v>
      </c>
      <c r="I417" t="str">
        <f t="shared" si="370"/>
        <v>6454</v>
      </c>
      <c r="J417" t="str">
        <f t="shared" si="371"/>
        <v>（株）ムロコーポレーション</v>
      </c>
      <c r="K417" t="str">
        <f t="shared" si="368"/>
        <v>01</v>
      </c>
      <c r="L417" t="str">
        <f>""</f>
        <v/>
      </c>
      <c r="M417" t="str">
        <f t="shared" si="365"/>
        <v>――</v>
      </c>
      <c r="N417" t="str">
        <f t="shared" si="365"/>
        <v>――</v>
      </c>
      <c r="O417" t="str">
        <f t="shared" si="386"/>
        <v>Ｍ</v>
      </c>
      <c r="P417" t="str">
        <f t="shared" si="387"/>
        <v>01</v>
      </c>
      <c r="Q417" t="str">
        <f t="shared" si="388"/>
        <v>第１</v>
      </c>
      <c r="R417" t="str">
        <f t="shared" si="389"/>
        <v>1Y</v>
      </c>
      <c r="S417" t="str">
        <f t="shared" si="390"/>
        <v>安城第１工場</v>
      </c>
      <c r="T417" t="str">
        <f t="shared" si="391"/>
        <v>直接</v>
      </c>
      <c r="U417" t="str">
        <f>""</f>
        <v/>
      </c>
      <c r="V417" t="str">
        <f>""</f>
        <v/>
      </c>
      <c r="W417" t="str">
        <f>""</f>
        <v/>
      </c>
      <c r="X417">
        <v>1</v>
      </c>
      <c r="Y417">
        <v>1</v>
      </c>
      <c r="Z417">
        <v>0.73</v>
      </c>
      <c r="AA417">
        <v>0.93</v>
      </c>
      <c r="AB417">
        <v>3</v>
      </c>
      <c r="AC417">
        <v>0.93</v>
      </c>
      <c r="AD417">
        <v>0.93</v>
      </c>
      <c r="AE417">
        <v>1.1000000000000001</v>
      </c>
      <c r="AF417">
        <v>0.5</v>
      </c>
      <c r="AG417" t="str">
        <f t="shared" si="372"/>
        <v>205</v>
      </c>
      <c r="AH417" t="str">
        <f t="shared" si="373"/>
        <v>（株）ムロコーポレーション</v>
      </c>
      <c r="AI417" t="str">
        <f>"228"</f>
        <v>228</v>
      </c>
      <c r="AJ417" t="str">
        <f>"S-SM-4-27"</f>
        <v>S-SM-4-27</v>
      </c>
      <c r="AK417" t="str">
        <f>"10273"</f>
        <v>10273</v>
      </c>
      <c r="AL417" t="str">
        <f t="shared" si="395"/>
        <v>0370</v>
      </c>
      <c r="AM417" t="str">
        <f t="shared" si="396"/>
        <v>ｼﾑ</v>
      </c>
      <c r="AN417" t="str">
        <f t="shared" si="374"/>
        <v>012</v>
      </c>
      <c r="AO417" t="str">
        <f t="shared" si="375"/>
        <v>TP-131 ﾊﾝﾖｳ</v>
      </c>
      <c r="AP417">
        <v>100</v>
      </c>
      <c r="AQ417" t="str">
        <f>""</f>
        <v/>
      </c>
      <c r="AR417" t="str">
        <f>""</f>
        <v/>
      </c>
      <c r="AS417" t="str">
        <f>""</f>
        <v/>
      </c>
      <c r="AT417" t="str">
        <f t="shared" si="376"/>
        <v>00</v>
      </c>
      <c r="AU417">
        <v>0.5</v>
      </c>
      <c r="AV417" t="str">
        <f>""</f>
        <v/>
      </c>
      <c r="AW417" t="str">
        <f t="shared" si="397"/>
        <v>06</v>
      </c>
      <c r="AX417" t="str">
        <f t="shared" si="398"/>
        <v>計画</v>
      </c>
      <c r="AY417" t="str">
        <f t="shared" si="399"/>
        <v>02</v>
      </c>
      <c r="AZ417" t="str">
        <f t="shared" si="400"/>
        <v>計画・２社</v>
      </c>
      <c r="BA417" t="str">
        <f>""</f>
        <v/>
      </c>
      <c r="BB417" t="str">
        <f t="shared" si="377"/>
        <v>ＴＰ１３１フタナシ</v>
      </c>
      <c r="BC417" t="str">
        <f t="shared" si="378"/>
        <v xml:space="preserve"> 335.000</v>
      </c>
      <c r="BD417" t="str">
        <f t="shared" si="379"/>
        <v xml:space="preserve"> 168.000</v>
      </c>
      <c r="BE417" t="str">
        <f t="shared" si="380"/>
        <v xml:space="preserve"> 103.000</v>
      </c>
      <c r="BF417" t="str">
        <f t="shared" si="381"/>
        <v xml:space="preserve">   0.006</v>
      </c>
      <c r="BG417" t="str">
        <f t="shared" si="404"/>
        <v xml:space="preserve">   6.500</v>
      </c>
      <c r="BH417" t="str">
        <f t="shared" si="364"/>
        <v>しない</v>
      </c>
      <c r="BI417" t="str">
        <f>""</f>
        <v/>
      </c>
      <c r="BJ417" t="str">
        <f t="shared" si="403"/>
        <v>MASTER01</v>
      </c>
      <c r="BK417" t="str">
        <f t="shared" si="405"/>
        <v>2022/04/19</v>
      </c>
      <c r="BL417" t="str">
        <f t="shared" si="392"/>
        <v>NE00</v>
      </c>
      <c r="BM417" t="str">
        <f t="shared" si="393"/>
        <v>１工工務Ｇ</v>
      </c>
      <c r="BN417" t="str">
        <f t="shared" si="401"/>
        <v>46548</v>
      </c>
      <c r="BO417" t="str">
        <f t="shared" si="402"/>
        <v>長畑　玲奈</v>
      </c>
    </row>
    <row r="418" spans="1:67">
      <c r="A418" t="s">
        <v>500</v>
      </c>
      <c r="B418" t="str">
        <f>""</f>
        <v/>
      </c>
      <c r="C418" t="str">
        <f>""</f>
        <v/>
      </c>
      <c r="D418" t="str">
        <f t="shared" si="394"/>
        <v>SHIM</v>
      </c>
      <c r="E418" t="str">
        <f t="shared" si="382"/>
        <v>1Y</v>
      </c>
      <c r="F418" t="str">
        <f t="shared" si="383"/>
        <v>第１工場</v>
      </c>
      <c r="G418" t="str">
        <f t="shared" si="384"/>
        <v>手配</v>
      </c>
      <c r="H418" t="str">
        <f t="shared" si="385"/>
        <v>Ｐ</v>
      </c>
      <c r="I418" t="str">
        <f t="shared" si="370"/>
        <v>6454</v>
      </c>
      <c r="J418" t="str">
        <f t="shared" si="371"/>
        <v>（株）ムロコーポレーション</v>
      </c>
      <c r="K418" t="str">
        <f t="shared" si="368"/>
        <v>01</v>
      </c>
      <c r="L418" t="str">
        <f>""</f>
        <v/>
      </c>
      <c r="M418" t="str">
        <f t="shared" si="365"/>
        <v>――</v>
      </c>
      <c r="N418" t="str">
        <f t="shared" si="365"/>
        <v>――</v>
      </c>
      <c r="O418" t="str">
        <f t="shared" si="386"/>
        <v>Ｍ</v>
      </c>
      <c r="P418" t="str">
        <f t="shared" si="387"/>
        <v>01</v>
      </c>
      <c r="Q418" t="str">
        <f t="shared" si="388"/>
        <v>第１</v>
      </c>
      <c r="R418" t="str">
        <f t="shared" si="389"/>
        <v>1Y</v>
      </c>
      <c r="S418" t="str">
        <f t="shared" si="390"/>
        <v>安城第１工場</v>
      </c>
      <c r="T418" t="str">
        <f t="shared" si="391"/>
        <v>直接</v>
      </c>
      <c r="U418" t="str">
        <f>""</f>
        <v/>
      </c>
      <c r="V418" t="str">
        <f>""</f>
        <v/>
      </c>
      <c r="W418" t="str">
        <f>""</f>
        <v/>
      </c>
      <c r="X418">
        <v>1</v>
      </c>
      <c r="Y418">
        <v>1</v>
      </c>
      <c r="Z418">
        <v>0.73</v>
      </c>
      <c r="AA418">
        <v>0.93</v>
      </c>
      <c r="AB418">
        <v>3</v>
      </c>
      <c r="AC418">
        <v>0.93</v>
      </c>
      <c r="AD418">
        <v>0.93</v>
      </c>
      <c r="AE418">
        <v>1.1000000000000001</v>
      </c>
      <c r="AF418">
        <v>0.5</v>
      </c>
      <c r="AG418" t="str">
        <f t="shared" si="372"/>
        <v>205</v>
      </c>
      <c r="AH418" t="str">
        <f t="shared" si="373"/>
        <v>（株）ムロコーポレーション</v>
      </c>
      <c r="AI418" t="str">
        <f>"229"</f>
        <v>229</v>
      </c>
      <c r="AJ418" t="str">
        <f>"S-SM-4-28"</f>
        <v>S-SM-4-28</v>
      </c>
      <c r="AK418" t="str">
        <f>"10274"</f>
        <v>10274</v>
      </c>
      <c r="AL418" t="str">
        <f t="shared" si="395"/>
        <v>0370</v>
      </c>
      <c r="AM418" t="str">
        <f t="shared" si="396"/>
        <v>ｼﾑ</v>
      </c>
      <c r="AN418" t="str">
        <f t="shared" si="374"/>
        <v>012</v>
      </c>
      <c r="AO418" t="str">
        <f t="shared" si="375"/>
        <v>TP-131 ﾊﾝﾖｳ</v>
      </c>
      <c r="AP418">
        <v>100</v>
      </c>
      <c r="AQ418" t="str">
        <f>""</f>
        <v/>
      </c>
      <c r="AR418" t="str">
        <f>""</f>
        <v/>
      </c>
      <c r="AS418" t="str">
        <f>""</f>
        <v/>
      </c>
      <c r="AT418" t="str">
        <f t="shared" si="376"/>
        <v>00</v>
      </c>
      <c r="AU418">
        <v>0.5</v>
      </c>
      <c r="AV418" t="str">
        <f>""</f>
        <v/>
      </c>
      <c r="AW418" t="str">
        <f t="shared" si="397"/>
        <v>06</v>
      </c>
      <c r="AX418" t="str">
        <f t="shared" si="398"/>
        <v>計画</v>
      </c>
      <c r="AY418" t="str">
        <f t="shared" si="399"/>
        <v>02</v>
      </c>
      <c r="AZ418" t="str">
        <f t="shared" si="400"/>
        <v>計画・２社</v>
      </c>
      <c r="BA418" t="str">
        <f>""</f>
        <v/>
      </c>
      <c r="BB418" t="str">
        <f t="shared" si="377"/>
        <v>ＴＰ１３１フタナシ</v>
      </c>
      <c r="BC418" t="str">
        <f t="shared" si="378"/>
        <v xml:space="preserve"> 335.000</v>
      </c>
      <c r="BD418" t="str">
        <f t="shared" si="379"/>
        <v xml:space="preserve"> 168.000</v>
      </c>
      <c r="BE418" t="str">
        <f t="shared" si="380"/>
        <v xml:space="preserve"> 103.000</v>
      </c>
      <c r="BF418" t="str">
        <f t="shared" si="381"/>
        <v xml:space="preserve">   0.006</v>
      </c>
      <c r="BG418" t="str">
        <f t="shared" si="404"/>
        <v xml:space="preserve">   6.500</v>
      </c>
      <c r="BH418" t="str">
        <f t="shared" si="364"/>
        <v>しない</v>
      </c>
      <c r="BI418" t="str">
        <f>""</f>
        <v/>
      </c>
      <c r="BJ418" t="str">
        <f t="shared" si="403"/>
        <v>MASTER01</v>
      </c>
      <c r="BK418" t="str">
        <f t="shared" si="405"/>
        <v>2022/04/19</v>
      </c>
      <c r="BL418" t="str">
        <f t="shared" si="392"/>
        <v>NE00</v>
      </c>
      <c r="BM418" t="str">
        <f t="shared" si="393"/>
        <v>１工工務Ｇ</v>
      </c>
      <c r="BN418" t="str">
        <f t="shared" si="401"/>
        <v>46548</v>
      </c>
      <c r="BO418" t="str">
        <f t="shared" si="402"/>
        <v>長畑　玲奈</v>
      </c>
    </row>
    <row r="419" spans="1:67">
      <c r="A419" t="s">
        <v>501</v>
      </c>
      <c r="B419" t="str">
        <f>""</f>
        <v/>
      </c>
      <c r="C419" t="str">
        <f>""</f>
        <v/>
      </c>
      <c r="D419" t="str">
        <f t="shared" si="394"/>
        <v>SHIM</v>
      </c>
      <c r="E419" t="str">
        <f t="shared" si="382"/>
        <v>1Y</v>
      </c>
      <c r="F419" t="str">
        <f t="shared" si="383"/>
        <v>第１工場</v>
      </c>
      <c r="G419" t="str">
        <f t="shared" si="384"/>
        <v>手配</v>
      </c>
      <c r="H419" t="str">
        <f t="shared" si="385"/>
        <v>Ｐ</v>
      </c>
      <c r="I419" t="str">
        <f t="shared" si="370"/>
        <v>6454</v>
      </c>
      <c r="J419" t="str">
        <f t="shared" si="371"/>
        <v>（株）ムロコーポレーション</v>
      </c>
      <c r="K419" t="str">
        <f t="shared" si="368"/>
        <v>01</v>
      </c>
      <c r="L419" t="str">
        <f>""</f>
        <v/>
      </c>
      <c r="M419" t="str">
        <f t="shared" si="365"/>
        <v>――</v>
      </c>
      <c r="N419" t="str">
        <f t="shared" si="365"/>
        <v>――</v>
      </c>
      <c r="O419" t="str">
        <f t="shared" si="386"/>
        <v>Ｍ</v>
      </c>
      <c r="P419" t="str">
        <f t="shared" si="387"/>
        <v>01</v>
      </c>
      <c r="Q419" t="str">
        <f t="shared" si="388"/>
        <v>第１</v>
      </c>
      <c r="R419" t="str">
        <f t="shared" si="389"/>
        <v>1Y</v>
      </c>
      <c r="S419" t="str">
        <f t="shared" si="390"/>
        <v>安城第１工場</v>
      </c>
      <c r="T419" t="str">
        <f t="shared" si="391"/>
        <v>直接</v>
      </c>
      <c r="U419" t="str">
        <f>""</f>
        <v/>
      </c>
      <c r="V419" t="str">
        <f>""</f>
        <v/>
      </c>
      <c r="W419" t="str">
        <f>""</f>
        <v/>
      </c>
      <c r="X419">
        <v>1</v>
      </c>
      <c r="Y419">
        <v>1</v>
      </c>
      <c r="Z419">
        <v>0.73</v>
      </c>
      <c r="AA419">
        <v>0.93</v>
      </c>
      <c r="AB419">
        <v>3</v>
      </c>
      <c r="AC419">
        <v>0.93</v>
      </c>
      <c r="AD419">
        <v>0.93</v>
      </c>
      <c r="AE419">
        <v>1.1000000000000001</v>
      </c>
      <c r="AF419">
        <v>0.5</v>
      </c>
      <c r="AG419" t="str">
        <f t="shared" si="372"/>
        <v>205</v>
      </c>
      <c r="AH419" t="str">
        <f t="shared" si="373"/>
        <v>（株）ムロコーポレーション</v>
      </c>
      <c r="AI419" t="str">
        <f>"230"</f>
        <v>230</v>
      </c>
      <c r="AJ419" t="str">
        <f>"S-SM-4-29"</f>
        <v>S-SM-4-29</v>
      </c>
      <c r="AK419" t="str">
        <f>"10275"</f>
        <v>10275</v>
      </c>
      <c r="AL419" t="str">
        <f t="shared" si="395"/>
        <v>0370</v>
      </c>
      <c r="AM419" t="str">
        <f t="shared" si="396"/>
        <v>ｼﾑ</v>
      </c>
      <c r="AN419" t="str">
        <f t="shared" si="374"/>
        <v>012</v>
      </c>
      <c r="AO419" t="str">
        <f t="shared" si="375"/>
        <v>TP-131 ﾊﾝﾖｳ</v>
      </c>
      <c r="AP419">
        <v>100</v>
      </c>
      <c r="AQ419" t="str">
        <f>""</f>
        <v/>
      </c>
      <c r="AR419" t="str">
        <f>""</f>
        <v/>
      </c>
      <c r="AS419" t="str">
        <f>""</f>
        <v/>
      </c>
      <c r="AT419" t="str">
        <f t="shared" si="376"/>
        <v>00</v>
      </c>
      <c r="AU419">
        <v>0.5</v>
      </c>
      <c r="AV419" t="str">
        <f>""</f>
        <v/>
      </c>
      <c r="AW419" t="str">
        <f t="shared" si="397"/>
        <v>06</v>
      </c>
      <c r="AX419" t="str">
        <f t="shared" si="398"/>
        <v>計画</v>
      </c>
      <c r="AY419" t="str">
        <f t="shared" si="399"/>
        <v>02</v>
      </c>
      <c r="AZ419" t="str">
        <f t="shared" si="400"/>
        <v>計画・２社</v>
      </c>
      <c r="BA419" t="str">
        <f>""</f>
        <v/>
      </c>
      <c r="BB419" t="str">
        <f t="shared" si="377"/>
        <v>ＴＰ１３１フタナシ</v>
      </c>
      <c r="BC419" t="str">
        <f t="shared" si="378"/>
        <v xml:space="preserve"> 335.000</v>
      </c>
      <c r="BD419" t="str">
        <f t="shared" si="379"/>
        <v xml:space="preserve"> 168.000</v>
      </c>
      <c r="BE419" t="str">
        <f t="shared" si="380"/>
        <v xml:space="preserve"> 103.000</v>
      </c>
      <c r="BF419" t="str">
        <f t="shared" si="381"/>
        <v xml:space="preserve">   0.006</v>
      </c>
      <c r="BG419" t="str">
        <f t="shared" si="404"/>
        <v xml:space="preserve">   6.500</v>
      </c>
      <c r="BH419" t="str">
        <f t="shared" ref="BH419:BH482" si="406">"しない"</f>
        <v>しない</v>
      </c>
      <c r="BI419" t="str">
        <f>""</f>
        <v/>
      </c>
      <c r="BJ419" t="str">
        <f t="shared" si="403"/>
        <v>MASTER01</v>
      </c>
      <c r="BK419" t="str">
        <f t="shared" si="405"/>
        <v>2022/04/19</v>
      </c>
      <c r="BL419" t="str">
        <f t="shared" si="392"/>
        <v>NE00</v>
      </c>
      <c r="BM419" t="str">
        <f t="shared" si="393"/>
        <v>１工工務Ｇ</v>
      </c>
      <c r="BN419" t="str">
        <f t="shared" si="401"/>
        <v>46548</v>
      </c>
      <c r="BO419" t="str">
        <f t="shared" si="402"/>
        <v>長畑　玲奈</v>
      </c>
    </row>
    <row r="420" spans="1:67">
      <c r="A420" t="s">
        <v>502</v>
      </c>
      <c r="B420" t="str">
        <f>""</f>
        <v/>
      </c>
      <c r="C420" t="str">
        <f>""</f>
        <v/>
      </c>
      <c r="D420" t="str">
        <f t="shared" si="394"/>
        <v>SHIM</v>
      </c>
      <c r="E420" t="str">
        <f t="shared" si="382"/>
        <v>1Y</v>
      </c>
      <c r="F420" t="str">
        <f t="shared" si="383"/>
        <v>第１工場</v>
      </c>
      <c r="G420" t="str">
        <f t="shared" si="384"/>
        <v>手配</v>
      </c>
      <c r="H420" t="str">
        <f t="shared" si="385"/>
        <v>Ｐ</v>
      </c>
      <c r="I420" t="str">
        <f t="shared" si="370"/>
        <v>6454</v>
      </c>
      <c r="J420" t="str">
        <f t="shared" si="371"/>
        <v>（株）ムロコーポレーション</v>
      </c>
      <c r="K420" t="str">
        <f t="shared" si="368"/>
        <v>01</v>
      </c>
      <c r="L420" t="str">
        <f>""</f>
        <v/>
      </c>
      <c r="M420" t="str">
        <f t="shared" si="365"/>
        <v>――</v>
      </c>
      <c r="N420" t="str">
        <f t="shared" si="365"/>
        <v>――</v>
      </c>
      <c r="O420" t="str">
        <f t="shared" si="386"/>
        <v>Ｍ</v>
      </c>
      <c r="P420" t="str">
        <f t="shared" si="387"/>
        <v>01</v>
      </c>
      <c r="Q420" t="str">
        <f t="shared" si="388"/>
        <v>第１</v>
      </c>
      <c r="R420" t="str">
        <f t="shared" si="389"/>
        <v>1Y</v>
      </c>
      <c r="S420" t="str">
        <f t="shared" si="390"/>
        <v>安城第１工場</v>
      </c>
      <c r="T420" t="str">
        <f t="shared" si="391"/>
        <v>直接</v>
      </c>
      <c r="U420" t="str">
        <f>""</f>
        <v/>
      </c>
      <c r="V420" t="str">
        <f>""</f>
        <v/>
      </c>
      <c r="W420" t="str">
        <f>""</f>
        <v/>
      </c>
      <c r="X420">
        <v>1</v>
      </c>
      <c r="Y420">
        <v>1</v>
      </c>
      <c r="Z420">
        <v>0.73</v>
      </c>
      <c r="AA420">
        <v>0.93</v>
      </c>
      <c r="AB420">
        <v>3</v>
      </c>
      <c r="AC420">
        <v>0.93</v>
      </c>
      <c r="AD420">
        <v>0.93</v>
      </c>
      <c r="AE420">
        <v>1.1000000000000001</v>
      </c>
      <c r="AF420">
        <v>0.5</v>
      </c>
      <c r="AG420" t="str">
        <f t="shared" si="372"/>
        <v>205</v>
      </c>
      <c r="AH420" t="str">
        <f t="shared" si="373"/>
        <v>（株）ムロコーポレーション</v>
      </c>
      <c r="AI420" t="str">
        <f>"231"</f>
        <v>231</v>
      </c>
      <c r="AJ420" t="str">
        <f>"S-SM-4-30"</f>
        <v>S-SM-4-30</v>
      </c>
      <c r="AK420" t="str">
        <f>"10276"</f>
        <v>10276</v>
      </c>
      <c r="AL420" t="str">
        <f t="shared" si="395"/>
        <v>0370</v>
      </c>
      <c r="AM420" t="str">
        <f t="shared" si="396"/>
        <v>ｼﾑ</v>
      </c>
      <c r="AN420" t="str">
        <f t="shared" si="374"/>
        <v>012</v>
      </c>
      <c r="AO420" t="str">
        <f t="shared" si="375"/>
        <v>TP-131 ﾊﾝﾖｳ</v>
      </c>
      <c r="AP420">
        <v>100</v>
      </c>
      <c r="AQ420" t="str">
        <f>""</f>
        <v/>
      </c>
      <c r="AR420" t="str">
        <f>""</f>
        <v/>
      </c>
      <c r="AS420" t="str">
        <f>""</f>
        <v/>
      </c>
      <c r="AT420" t="str">
        <f t="shared" si="376"/>
        <v>00</v>
      </c>
      <c r="AU420">
        <v>0.5</v>
      </c>
      <c r="AV420" t="str">
        <f>""</f>
        <v/>
      </c>
      <c r="AW420" t="str">
        <f t="shared" si="397"/>
        <v>06</v>
      </c>
      <c r="AX420" t="str">
        <f t="shared" si="398"/>
        <v>計画</v>
      </c>
      <c r="AY420" t="str">
        <f t="shared" si="399"/>
        <v>02</v>
      </c>
      <c r="AZ420" t="str">
        <f t="shared" si="400"/>
        <v>計画・２社</v>
      </c>
      <c r="BA420" t="str">
        <f>""</f>
        <v/>
      </c>
      <c r="BB420" t="str">
        <f t="shared" si="377"/>
        <v>ＴＰ１３１フタナシ</v>
      </c>
      <c r="BC420" t="str">
        <f t="shared" si="378"/>
        <v xml:space="preserve"> 335.000</v>
      </c>
      <c r="BD420" t="str">
        <f t="shared" si="379"/>
        <v xml:space="preserve"> 168.000</v>
      </c>
      <c r="BE420" t="str">
        <f t="shared" si="380"/>
        <v xml:space="preserve"> 103.000</v>
      </c>
      <c r="BF420" t="str">
        <f t="shared" si="381"/>
        <v xml:space="preserve">   0.006</v>
      </c>
      <c r="BG420" t="str">
        <f t="shared" si="404"/>
        <v xml:space="preserve">   6.500</v>
      </c>
      <c r="BH420" t="str">
        <f t="shared" si="406"/>
        <v>しない</v>
      </c>
      <c r="BI420" t="str">
        <f>""</f>
        <v/>
      </c>
      <c r="BJ420" t="str">
        <f t="shared" si="403"/>
        <v>MASTER01</v>
      </c>
      <c r="BK420" t="str">
        <f t="shared" si="405"/>
        <v>2022/04/19</v>
      </c>
      <c r="BL420" t="str">
        <f t="shared" si="392"/>
        <v>NE00</v>
      </c>
      <c r="BM420" t="str">
        <f t="shared" si="393"/>
        <v>１工工務Ｇ</v>
      </c>
      <c r="BN420" t="str">
        <f t="shared" si="401"/>
        <v>46548</v>
      </c>
      <c r="BO420" t="str">
        <f t="shared" si="402"/>
        <v>長畑　玲奈</v>
      </c>
    </row>
    <row r="421" spans="1:67">
      <c r="A421" t="s">
        <v>503</v>
      </c>
      <c r="B421" t="str">
        <f>""</f>
        <v/>
      </c>
      <c r="C421" t="str">
        <f>""</f>
        <v/>
      </c>
      <c r="D421" t="str">
        <f t="shared" si="394"/>
        <v>SHIM</v>
      </c>
      <c r="E421" t="str">
        <f t="shared" si="382"/>
        <v>1Y</v>
      </c>
      <c r="F421" t="str">
        <f t="shared" si="383"/>
        <v>第１工場</v>
      </c>
      <c r="G421" t="str">
        <f t="shared" si="384"/>
        <v>手配</v>
      </c>
      <c r="H421" t="str">
        <f t="shared" si="385"/>
        <v>Ｐ</v>
      </c>
      <c r="I421" t="str">
        <f t="shared" si="370"/>
        <v>6454</v>
      </c>
      <c r="J421" t="str">
        <f t="shared" si="371"/>
        <v>（株）ムロコーポレーション</v>
      </c>
      <c r="K421" t="str">
        <f t="shared" si="368"/>
        <v>01</v>
      </c>
      <c r="L421" t="str">
        <f>""</f>
        <v/>
      </c>
      <c r="M421" t="str">
        <f t="shared" ref="M421:N484" si="407">"――"</f>
        <v>――</v>
      </c>
      <c r="N421" t="str">
        <f t="shared" si="407"/>
        <v>――</v>
      </c>
      <c r="O421" t="str">
        <f t="shared" si="386"/>
        <v>Ｍ</v>
      </c>
      <c r="P421" t="str">
        <f t="shared" si="387"/>
        <v>01</v>
      </c>
      <c r="Q421" t="str">
        <f t="shared" si="388"/>
        <v>第１</v>
      </c>
      <c r="R421" t="str">
        <f t="shared" si="389"/>
        <v>1Y</v>
      </c>
      <c r="S421" t="str">
        <f t="shared" si="390"/>
        <v>安城第１工場</v>
      </c>
      <c r="T421" t="str">
        <f t="shared" si="391"/>
        <v>直接</v>
      </c>
      <c r="U421" t="str">
        <f>""</f>
        <v/>
      </c>
      <c r="V421" t="str">
        <f>""</f>
        <v/>
      </c>
      <c r="W421" t="str">
        <f>""</f>
        <v/>
      </c>
      <c r="X421">
        <v>1</v>
      </c>
      <c r="Y421">
        <v>1</v>
      </c>
      <c r="Z421">
        <v>0.73</v>
      </c>
      <c r="AA421">
        <v>0.93</v>
      </c>
      <c r="AB421">
        <v>3</v>
      </c>
      <c r="AC421">
        <v>0.93</v>
      </c>
      <c r="AD421">
        <v>0.93</v>
      </c>
      <c r="AE421">
        <v>1.1000000000000001</v>
      </c>
      <c r="AF421">
        <v>0.5</v>
      </c>
      <c r="AG421" t="str">
        <f t="shared" si="372"/>
        <v>205</v>
      </c>
      <c r="AH421" t="str">
        <f t="shared" si="373"/>
        <v>（株）ムロコーポレーション</v>
      </c>
      <c r="AI421" t="str">
        <f>"232"</f>
        <v>232</v>
      </c>
      <c r="AJ421" t="str">
        <f>"S-SM-4-31"</f>
        <v>S-SM-4-31</v>
      </c>
      <c r="AK421" t="str">
        <f>"10277"</f>
        <v>10277</v>
      </c>
      <c r="AL421" t="str">
        <f t="shared" si="395"/>
        <v>0370</v>
      </c>
      <c r="AM421" t="str">
        <f t="shared" si="396"/>
        <v>ｼﾑ</v>
      </c>
      <c r="AN421" t="str">
        <f t="shared" si="374"/>
        <v>012</v>
      </c>
      <c r="AO421" t="str">
        <f t="shared" si="375"/>
        <v>TP-131 ﾊﾝﾖｳ</v>
      </c>
      <c r="AP421">
        <v>100</v>
      </c>
      <c r="AQ421" t="str">
        <f>""</f>
        <v/>
      </c>
      <c r="AR421" t="str">
        <f>""</f>
        <v/>
      </c>
      <c r="AS421" t="str">
        <f>""</f>
        <v/>
      </c>
      <c r="AT421" t="str">
        <f t="shared" si="376"/>
        <v>00</v>
      </c>
      <c r="AU421">
        <v>0.5</v>
      </c>
      <c r="AV421" t="str">
        <f>""</f>
        <v/>
      </c>
      <c r="AW421" t="str">
        <f t="shared" si="397"/>
        <v>06</v>
      </c>
      <c r="AX421" t="str">
        <f t="shared" si="398"/>
        <v>計画</v>
      </c>
      <c r="AY421" t="str">
        <f t="shared" si="399"/>
        <v>02</v>
      </c>
      <c r="AZ421" t="str">
        <f t="shared" si="400"/>
        <v>計画・２社</v>
      </c>
      <c r="BA421" t="str">
        <f>""</f>
        <v/>
      </c>
      <c r="BB421" t="str">
        <f t="shared" si="377"/>
        <v>ＴＰ１３１フタナシ</v>
      </c>
      <c r="BC421" t="str">
        <f t="shared" si="378"/>
        <v xml:space="preserve"> 335.000</v>
      </c>
      <c r="BD421" t="str">
        <f t="shared" si="379"/>
        <v xml:space="preserve"> 168.000</v>
      </c>
      <c r="BE421" t="str">
        <f t="shared" si="380"/>
        <v xml:space="preserve"> 103.000</v>
      </c>
      <c r="BF421" t="str">
        <f t="shared" si="381"/>
        <v xml:space="preserve">   0.006</v>
      </c>
      <c r="BG421" t="str">
        <f t="shared" si="404"/>
        <v xml:space="preserve">   6.500</v>
      </c>
      <c r="BH421" t="str">
        <f t="shared" si="406"/>
        <v>しない</v>
      </c>
      <c r="BI421" t="str">
        <f>""</f>
        <v/>
      </c>
      <c r="BJ421" t="str">
        <f t="shared" si="403"/>
        <v>MASTER01</v>
      </c>
      <c r="BK421" t="str">
        <f t="shared" si="405"/>
        <v>2022/04/19</v>
      </c>
      <c r="BL421" t="str">
        <f t="shared" si="392"/>
        <v>NE00</v>
      </c>
      <c r="BM421" t="str">
        <f t="shared" si="393"/>
        <v>１工工務Ｇ</v>
      </c>
      <c r="BN421" t="str">
        <f t="shared" si="401"/>
        <v>46548</v>
      </c>
      <c r="BO421" t="str">
        <f t="shared" si="402"/>
        <v>長畑　玲奈</v>
      </c>
    </row>
    <row r="422" spans="1:67">
      <c r="A422" t="s">
        <v>504</v>
      </c>
      <c r="B422" t="str">
        <f>""</f>
        <v/>
      </c>
      <c r="C422" t="str">
        <f>""</f>
        <v/>
      </c>
      <c r="D422" t="str">
        <f t="shared" si="394"/>
        <v>SHIM</v>
      </c>
      <c r="E422" t="str">
        <f t="shared" si="382"/>
        <v>1Y</v>
      </c>
      <c r="F422" t="str">
        <f t="shared" si="383"/>
        <v>第１工場</v>
      </c>
      <c r="G422" t="str">
        <f t="shared" si="384"/>
        <v>手配</v>
      </c>
      <c r="H422" t="str">
        <f t="shared" si="385"/>
        <v>Ｐ</v>
      </c>
      <c r="I422" t="str">
        <f t="shared" si="370"/>
        <v>6454</v>
      </c>
      <c r="J422" t="str">
        <f t="shared" si="371"/>
        <v>（株）ムロコーポレーション</v>
      </c>
      <c r="K422" t="str">
        <f t="shared" si="368"/>
        <v>01</v>
      </c>
      <c r="L422" t="str">
        <f>""</f>
        <v/>
      </c>
      <c r="M422" t="str">
        <f t="shared" si="407"/>
        <v>――</v>
      </c>
      <c r="N422" t="str">
        <f t="shared" si="407"/>
        <v>――</v>
      </c>
      <c r="O422" t="str">
        <f t="shared" si="386"/>
        <v>Ｍ</v>
      </c>
      <c r="P422" t="str">
        <f t="shared" si="387"/>
        <v>01</v>
      </c>
      <c r="Q422" t="str">
        <f t="shared" si="388"/>
        <v>第１</v>
      </c>
      <c r="R422" t="str">
        <f t="shared" si="389"/>
        <v>1Y</v>
      </c>
      <c r="S422" t="str">
        <f t="shared" si="390"/>
        <v>安城第１工場</v>
      </c>
      <c r="T422" t="str">
        <f t="shared" si="391"/>
        <v>直接</v>
      </c>
      <c r="U422" t="str">
        <f>""</f>
        <v/>
      </c>
      <c r="V422" t="str">
        <f>""</f>
        <v/>
      </c>
      <c r="W422" t="str">
        <f>""</f>
        <v/>
      </c>
      <c r="X422">
        <v>1</v>
      </c>
      <c r="Y422">
        <v>1</v>
      </c>
      <c r="Z422">
        <v>0.73</v>
      </c>
      <c r="AA422">
        <v>0.93</v>
      </c>
      <c r="AB422">
        <v>3</v>
      </c>
      <c r="AC422">
        <v>0.93</v>
      </c>
      <c r="AD422">
        <v>0.93</v>
      </c>
      <c r="AE422">
        <v>1.1000000000000001</v>
      </c>
      <c r="AF422">
        <v>0.5</v>
      </c>
      <c r="AG422" t="str">
        <f t="shared" si="372"/>
        <v>205</v>
      </c>
      <c r="AH422" t="str">
        <f t="shared" si="373"/>
        <v>（株）ムロコーポレーション</v>
      </c>
      <c r="AI422" t="str">
        <f>"233"</f>
        <v>233</v>
      </c>
      <c r="AJ422" t="str">
        <f>"S-SM-4-32"</f>
        <v>S-SM-4-32</v>
      </c>
      <c r="AK422" t="str">
        <f>"10278"</f>
        <v>10278</v>
      </c>
      <c r="AL422" t="str">
        <f t="shared" si="395"/>
        <v>0370</v>
      </c>
      <c r="AM422" t="str">
        <f t="shared" si="396"/>
        <v>ｼﾑ</v>
      </c>
      <c r="AN422" t="str">
        <f t="shared" si="374"/>
        <v>012</v>
      </c>
      <c r="AO422" t="str">
        <f t="shared" si="375"/>
        <v>TP-131 ﾊﾝﾖｳ</v>
      </c>
      <c r="AP422">
        <v>100</v>
      </c>
      <c r="AQ422" t="str">
        <f>""</f>
        <v/>
      </c>
      <c r="AR422" t="str">
        <f>""</f>
        <v/>
      </c>
      <c r="AS422" t="str">
        <f>""</f>
        <v/>
      </c>
      <c r="AT422" t="str">
        <f t="shared" si="376"/>
        <v>00</v>
      </c>
      <c r="AU422">
        <v>0.5</v>
      </c>
      <c r="AV422" t="str">
        <f>""</f>
        <v/>
      </c>
      <c r="AW422" t="str">
        <f t="shared" si="397"/>
        <v>06</v>
      </c>
      <c r="AX422" t="str">
        <f t="shared" si="398"/>
        <v>計画</v>
      </c>
      <c r="AY422" t="str">
        <f t="shared" si="399"/>
        <v>02</v>
      </c>
      <c r="AZ422" t="str">
        <f t="shared" si="400"/>
        <v>計画・２社</v>
      </c>
      <c r="BA422" t="str">
        <f>""</f>
        <v/>
      </c>
      <c r="BB422" t="str">
        <f t="shared" si="377"/>
        <v>ＴＰ１３１フタナシ</v>
      </c>
      <c r="BC422" t="str">
        <f t="shared" si="378"/>
        <v xml:space="preserve"> 335.000</v>
      </c>
      <c r="BD422" t="str">
        <f t="shared" si="379"/>
        <v xml:space="preserve"> 168.000</v>
      </c>
      <c r="BE422" t="str">
        <f t="shared" si="380"/>
        <v xml:space="preserve"> 103.000</v>
      </c>
      <c r="BF422" t="str">
        <f t="shared" si="381"/>
        <v xml:space="preserve">   0.006</v>
      </c>
      <c r="BG422" t="str">
        <f>"   4.900"</f>
        <v xml:space="preserve">   4.900</v>
      </c>
      <c r="BH422" t="str">
        <f t="shared" si="406"/>
        <v>しない</v>
      </c>
      <c r="BI422" t="str">
        <f>""</f>
        <v/>
      </c>
      <c r="BJ422" t="str">
        <f t="shared" si="403"/>
        <v>MASTER01</v>
      </c>
      <c r="BK422" t="str">
        <f t="shared" si="405"/>
        <v>2022/04/19</v>
      </c>
      <c r="BL422" t="str">
        <f t="shared" si="392"/>
        <v>NE00</v>
      </c>
      <c r="BM422" t="str">
        <f t="shared" si="393"/>
        <v>１工工務Ｇ</v>
      </c>
      <c r="BN422" t="str">
        <f t="shared" si="401"/>
        <v>46548</v>
      </c>
      <c r="BO422" t="str">
        <f t="shared" si="402"/>
        <v>長畑　玲奈</v>
      </c>
    </row>
    <row r="423" spans="1:67">
      <c r="A423" t="s">
        <v>505</v>
      </c>
      <c r="B423" t="str">
        <f>""</f>
        <v/>
      </c>
      <c r="C423" t="str">
        <f>""</f>
        <v/>
      </c>
      <c r="D423" t="str">
        <f t="shared" si="394"/>
        <v>SHIM</v>
      </c>
      <c r="E423" t="str">
        <f t="shared" si="382"/>
        <v>1Y</v>
      </c>
      <c r="F423" t="str">
        <f t="shared" si="383"/>
        <v>第１工場</v>
      </c>
      <c r="G423" t="str">
        <f t="shared" si="384"/>
        <v>手配</v>
      </c>
      <c r="H423" t="str">
        <f t="shared" si="385"/>
        <v>Ｐ</v>
      </c>
      <c r="I423" t="str">
        <f t="shared" si="370"/>
        <v>6454</v>
      </c>
      <c r="J423" t="str">
        <f t="shared" si="371"/>
        <v>（株）ムロコーポレーション</v>
      </c>
      <c r="K423" t="str">
        <f t="shared" si="368"/>
        <v>01</v>
      </c>
      <c r="L423" t="str">
        <f>""</f>
        <v/>
      </c>
      <c r="M423" t="str">
        <f t="shared" si="407"/>
        <v>――</v>
      </c>
      <c r="N423" t="str">
        <f t="shared" si="407"/>
        <v>――</v>
      </c>
      <c r="O423" t="str">
        <f t="shared" si="386"/>
        <v>Ｍ</v>
      </c>
      <c r="P423" t="str">
        <f t="shared" si="387"/>
        <v>01</v>
      </c>
      <c r="Q423" t="str">
        <f t="shared" si="388"/>
        <v>第１</v>
      </c>
      <c r="R423" t="str">
        <f t="shared" si="389"/>
        <v>1Y</v>
      </c>
      <c r="S423" t="str">
        <f t="shared" si="390"/>
        <v>安城第１工場</v>
      </c>
      <c r="T423" t="str">
        <f t="shared" si="391"/>
        <v>直接</v>
      </c>
      <c r="U423" t="str">
        <f>""</f>
        <v/>
      </c>
      <c r="V423" t="str">
        <f>""</f>
        <v/>
      </c>
      <c r="W423" t="str">
        <f>""</f>
        <v/>
      </c>
      <c r="X423">
        <v>1</v>
      </c>
      <c r="Y423">
        <v>1</v>
      </c>
      <c r="Z423">
        <v>0.73</v>
      </c>
      <c r="AA423">
        <v>0.93</v>
      </c>
      <c r="AB423">
        <v>3</v>
      </c>
      <c r="AC423">
        <v>0.93</v>
      </c>
      <c r="AD423">
        <v>0.93</v>
      </c>
      <c r="AE423">
        <v>1.1000000000000001</v>
      </c>
      <c r="AF423">
        <v>0.5</v>
      </c>
      <c r="AG423" t="str">
        <f t="shared" si="372"/>
        <v>205</v>
      </c>
      <c r="AH423" t="str">
        <f t="shared" si="373"/>
        <v>（株）ムロコーポレーション</v>
      </c>
      <c r="AI423" t="str">
        <f>"234"</f>
        <v>234</v>
      </c>
      <c r="AJ423" t="str">
        <f>"S-SM-4-33"</f>
        <v>S-SM-4-33</v>
      </c>
      <c r="AK423" t="str">
        <f>"10279"</f>
        <v>10279</v>
      </c>
      <c r="AL423" t="str">
        <f t="shared" si="395"/>
        <v>0370</v>
      </c>
      <c r="AM423" t="str">
        <f t="shared" si="396"/>
        <v>ｼﾑ</v>
      </c>
      <c r="AN423" t="str">
        <f t="shared" si="374"/>
        <v>012</v>
      </c>
      <c r="AO423" t="str">
        <f t="shared" si="375"/>
        <v>TP-131 ﾊﾝﾖｳ</v>
      </c>
      <c r="AP423">
        <v>100</v>
      </c>
      <c r="AQ423" t="str">
        <f>""</f>
        <v/>
      </c>
      <c r="AR423" t="str">
        <f>""</f>
        <v/>
      </c>
      <c r="AS423" t="str">
        <f>""</f>
        <v/>
      </c>
      <c r="AT423" t="str">
        <f t="shared" si="376"/>
        <v>00</v>
      </c>
      <c r="AU423">
        <v>0.5</v>
      </c>
      <c r="AV423" t="str">
        <f>""</f>
        <v/>
      </c>
      <c r="AW423" t="str">
        <f t="shared" si="397"/>
        <v>06</v>
      </c>
      <c r="AX423" t="str">
        <f t="shared" si="398"/>
        <v>計画</v>
      </c>
      <c r="AY423" t="str">
        <f t="shared" si="399"/>
        <v>02</v>
      </c>
      <c r="AZ423" t="str">
        <f t="shared" si="400"/>
        <v>計画・２社</v>
      </c>
      <c r="BA423" t="str">
        <f>""</f>
        <v/>
      </c>
      <c r="BB423" t="str">
        <f t="shared" si="377"/>
        <v>ＴＰ１３１フタナシ</v>
      </c>
      <c r="BC423" t="str">
        <f t="shared" si="378"/>
        <v xml:space="preserve"> 335.000</v>
      </c>
      <c r="BD423" t="str">
        <f t="shared" si="379"/>
        <v xml:space="preserve"> 168.000</v>
      </c>
      <c r="BE423" t="str">
        <f t="shared" si="380"/>
        <v xml:space="preserve"> 103.000</v>
      </c>
      <c r="BF423" t="str">
        <f t="shared" si="381"/>
        <v xml:space="preserve">   0.006</v>
      </c>
      <c r="BG423" t="str">
        <f>"   6.500"</f>
        <v xml:space="preserve">   6.500</v>
      </c>
      <c r="BH423" t="str">
        <f t="shared" si="406"/>
        <v>しない</v>
      </c>
      <c r="BI423" t="str">
        <f>""</f>
        <v/>
      </c>
      <c r="BJ423" t="str">
        <f t="shared" si="403"/>
        <v>MASTER01</v>
      </c>
      <c r="BK423" t="str">
        <f t="shared" si="405"/>
        <v>2022/04/19</v>
      </c>
      <c r="BL423" t="str">
        <f t="shared" si="392"/>
        <v>NE00</v>
      </c>
      <c r="BM423" t="str">
        <f t="shared" si="393"/>
        <v>１工工務Ｇ</v>
      </c>
      <c r="BN423" t="str">
        <f t="shared" si="401"/>
        <v>46548</v>
      </c>
      <c r="BO423" t="str">
        <f t="shared" si="402"/>
        <v>長畑　玲奈</v>
      </c>
    </row>
    <row r="424" spans="1:67">
      <c r="A424" t="s">
        <v>506</v>
      </c>
      <c r="B424" t="str">
        <f>""</f>
        <v/>
      </c>
      <c r="C424" t="str">
        <f>""</f>
        <v/>
      </c>
      <c r="D424" t="str">
        <f t="shared" si="394"/>
        <v>SHIM</v>
      </c>
      <c r="E424" t="str">
        <f t="shared" si="382"/>
        <v>1Y</v>
      </c>
      <c r="F424" t="str">
        <f t="shared" si="383"/>
        <v>第１工場</v>
      </c>
      <c r="G424" t="str">
        <f t="shared" si="384"/>
        <v>手配</v>
      </c>
      <c r="H424" t="str">
        <f t="shared" si="385"/>
        <v>Ｐ</v>
      </c>
      <c r="I424" t="str">
        <f t="shared" si="370"/>
        <v>6454</v>
      </c>
      <c r="J424" t="str">
        <f t="shared" si="371"/>
        <v>（株）ムロコーポレーション</v>
      </c>
      <c r="K424" t="str">
        <f t="shared" si="368"/>
        <v>01</v>
      </c>
      <c r="L424" t="str">
        <f>""</f>
        <v/>
      </c>
      <c r="M424" t="str">
        <f t="shared" si="407"/>
        <v>――</v>
      </c>
      <c r="N424" t="str">
        <f t="shared" si="407"/>
        <v>――</v>
      </c>
      <c r="O424" t="str">
        <f t="shared" si="386"/>
        <v>Ｍ</v>
      </c>
      <c r="P424" t="str">
        <f t="shared" si="387"/>
        <v>01</v>
      </c>
      <c r="Q424" t="str">
        <f t="shared" si="388"/>
        <v>第１</v>
      </c>
      <c r="R424" t="str">
        <f t="shared" si="389"/>
        <v>1Y</v>
      </c>
      <c r="S424" t="str">
        <f t="shared" si="390"/>
        <v>安城第１工場</v>
      </c>
      <c r="T424" t="str">
        <f t="shared" si="391"/>
        <v>直接</v>
      </c>
      <c r="U424" t="str">
        <f>""</f>
        <v/>
      </c>
      <c r="V424" t="str">
        <f>""</f>
        <v/>
      </c>
      <c r="W424" t="str">
        <f>""</f>
        <v/>
      </c>
      <c r="X424">
        <v>1</v>
      </c>
      <c r="Y424">
        <v>1</v>
      </c>
      <c r="Z424">
        <v>0.73</v>
      </c>
      <c r="AA424">
        <v>0.93</v>
      </c>
      <c r="AB424">
        <v>3</v>
      </c>
      <c r="AC424">
        <v>0.93</v>
      </c>
      <c r="AD424">
        <v>0.93</v>
      </c>
      <c r="AE424">
        <v>1.1000000000000001</v>
      </c>
      <c r="AF424">
        <v>0.5</v>
      </c>
      <c r="AG424" t="str">
        <f t="shared" si="372"/>
        <v>205</v>
      </c>
      <c r="AH424" t="str">
        <f t="shared" si="373"/>
        <v>（株）ムロコーポレーション</v>
      </c>
      <c r="AI424" t="str">
        <f>"235"</f>
        <v>235</v>
      </c>
      <c r="AJ424" t="str">
        <f>"S-SM-4-34"</f>
        <v>S-SM-4-34</v>
      </c>
      <c r="AK424" t="str">
        <f>"10280"</f>
        <v>10280</v>
      </c>
      <c r="AL424" t="str">
        <f t="shared" si="395"/>
        <v>0370</v>
      </c>
      <c r="AM424" t="str">
        <f t="shared" si="396"/>
        <v>ｼﾑ</v>
      </c>
      <c r="AN424" t="str">
        <f t="shared" si="374"/>
        <v>012</v>
      </c>
      <c r="AO424" t="str">
        <f t="shared" si="375"/>
        <v>TP-131 ﾊﾝﾖｳ</v>
      </c>
      <c r="AP424">
        <v>100</v>
      </c>
      <c r="AQ424" t="str">
        <f>""</f>
        <v/>
      </c>
      <c r="AR424" t="str">
        <f>""</f>
        <v/>
      </c>
      <c r="AS424" t="str">
        <f>""</f>
        <v/>
      </c>
      <c r="AT424" t="str">
        <f t="shared" si="376"/>
        <v>00</v>
      </c>
      <c r="AU424">
        <v>0.5</v>
      </c>
      <c r="AV424" t="str">
        <f>""</f>
        <v/>
      </c>
      <c r="AW424" t="str">
        <f t="shared" si="397"/>
        <v>06</v>
      </c>
      <c r="AX424" t="str">
        <f t="shared" si="398"/>
        <v>計画</v>
      </c>
      <c r="AY424" t="str">
        <f t="shared" si="399"/>
        <v>02</v>
      </c>
      <c r="AZ424" t="str">
        <f t="shared" si="400"/>
        <v>計画・２社</v>
      </c>
      <c r="BA424" t="str">
        <f>""</f>
        <v/>
      </c>
      <c r="BB424" t="str">
        <f t="shared" si="377"/>
        <v>ＴＰ１３１フタナシ</v>
      </c>
      <c r="BC424" t="str">
        <f t="shared" si="378"/>
        <v xml:space="preserve"> 335.000</v>
      </c>
      <c r="BD424" t="str">
        <f t="shared" si="379"/>
        <v xml:space="preserve"> 168.000</v>
      </c>
      <c r="BE424" t="str">
        <f t="shared" si="380"/>
        <v xml:space="preserve"> 103.000</v>
      </c>
      <c r="BF424" t="str">
        <f t="shared" si="381"/>
        <v xml:space="preserve">   0.006</v>
      </c>
      <c r="BG424" t="str">
        <f t="shared" ref="BG424:BG431" si="408">"   4.900"</f>
        <v xml:space="preserve">   4.900</v>
      </c>
      <c r="BH424" t="str">
        <f t="shared" si="406"/>
        <v>しない</v>
      </c>
      <c r="BI424" t="str">
        <f>""</f>
        <v/>
      </c>
      <c r="BJ424" t="str">
        <f t="shared" si="403"/>
        <v>MASTER01</v>
      </c>
      <c r="BK424" t="str">
        <f t="shared" si="405"/>
        <v>2022/04/19</v>
      </c>
      <c r="BL424" t="str">
        <f t="shared" si="392"/>
        <v>NE00</v>
      </c>
      <c r="BM424" t="str">
        <f t="shared" si="393"/>
        <v>１工工務Ｇ</v>
      </c>
      <c r="BN424" t="str">
        <f t="shared" si="401"/>
        <v>46548</v>
      </c>
      <c r="BO424" t="str">
        <f t="shared" si="402"/>
        <v>長畑　玲奈</v>
      </c>
    </row>
    <row r="425" spans="1:67">
      <c r="A425" t="s">
        <v>507</v>
      </c>
      <c r="B425" t="str">
        <f>""</f>
        <v/>
      </c>
      <c r="C425" t="str">
        <f>""</f>
        <v/>
      </c>
      <c r="D425" t="str">
        <f t="shared" si="394"/>
        <v>SHIM</v>
      </c>
      <c r="E425" t="str">
        <f t="shared" si="382"/>
        <v>1Y</v>
      </c>
      <c r="F425" t="str">
        <f t="shared" si="383"/>
        <v>第１工場</v>
      </c>
      <c r="G425" t="str">
        <f t="shared" si="384"/>
        <v>手配</v>
      </c>
      <c r="H425" t="str">
        <f t="shared" si="385"/>
        <v>Ｐ</v>
      </c>
      <c r="I425" t="str">
        <f t="shared" si="370"/>
        <v>6454</v>
      </c>
      <c r="J425" t="str">
        <f t="shared" si="371"/>
        <v>（株）ムロコーポレーション</v>
      </c>
      <c r="K425" t="str">
        <f t="shared" si="368"/>
        <v>01</v>
      </c>
      <c r="L425" t="str">
        <f>""</f>
        <v/>
      </c>
      <c r="M425" t="str">
        <f t="shared" si="407"/>
        <v>――</v>
      </c>
      <c r="N425" t="str">
        <f t="shared" si="407"/>
        <v>――</v>
      </c>
      <c r="O425" t="str">
        <f t="shared" si="386"/>
        <v>Ｍ</v>
      </c>
      <c r="P425" t="str">
        <f t="shared" si="387"/>
        <v>01</v>
      </c>
      <c r="Q425" t="str">
        <f t="shared" si="388"/>
        <v>第１</v>
      </c>
      <c r="R425" t="str">
        <f t="shared" si="389"/>
        <v>1Y</v>
      </c>
      <c r="S425" t="str">
        <f t="shared" si="390"/>
        <v>安城第１工場</v>
      </c>
      <c r="T425" t="str">
        <f t="shared" si="391"/>
        <v>直接</v>
      </c>
      <c r="U425" t="str">
        <f>""</f>
        <v/>
      </c>
      <c r="V425" t="str">
        <f>""</f>
        <v/>
      </c>
      <c r="W425" t="str">
        <f>""</f>
        <v/>
      </c>
      <c r="X425">
        <v>1</v>
      </c>
      <c r="Y425">
        <v>1</v>
      </c>
      <c r="Z425">
        <v>0.73</v>
      </c>
      <c r="AA425">
        <v>0.93</v>
      </c>
      <c r="AB425">
        <v>3</v>
      </c>
      <c r="AC425">
        <v>0.93</v>
      </c>
      <c r="AD425">
        <v>0.93</v>
      </c>
      <c r="AE425">
        <v>1.1000000000000001</v>
      </c>
      <c r="AF425">
        <v>0.5</v>
      </c>
      <c r="AG425" t="str">
        <f t="shared" si="372"/>
        <v>205</v>
      </c>
      <c r="AH425" t="str">
        <f t="shared" si="373"/>
        <v>（株）ムロコーポレーション</v>
      </c>
      <c r="AI425" t="str">
        <f>"236"</f>
        <v>236</v>
      </c>
      <c r="AJ425" t="str">
        <f>"S-SM-1-29"</f>
        <v>S-SM-1-29</v>
      </c>
      <c r="AK425" t="str">
        <f>"10281"</f>
        <v>10281</v>
      </c>
      <c r="AL425" t="str">
        <f t="shared" si="395"/>
        <v>0370</v>
      </c>
      <c r="AM425" t="str">
        <f t="shared" si="396"/>
        <v>ｼﾑ</v>
      </c>
      <c r="AN425" t="str">
        <f t="shared" si="374"/>
        <v>012</v>
      </c>
      <c r="AO425" t="str">
        <f t="shared" si="375"/>
        <v>TP-131 ﾊﾝﾖｳ</v>
      </c>
      <c r="AP425">
        <v>100</v>
      </c>
      <c r="AQ425" t="str">
        <f>""</f>
        <v/>
      </c>
      <c r="AR425" t="str">
        <f>""</f>
        <v/>
      </c>
      <c r="AS425" t="str">
        <f>""</f>
        <v/>
      </c>
      <c r="AT425" t="str">
        <f t="shared" si="376"/>
        <v>00</v>
      </c>
      <c r="AU425">
        <v>0.5</v>
      </c>
      <c r="AV425" t="str">
        <f>""</f>
        <v/>
      </c>
      <c r="AW425" t="str">
        <f t="shared" si="397"/>
        <v>06</v>
      </c>
      <c r="AX425" t="str">
        <f t="shared" si="398"/>
        <v>計画</v>
      </c>
      <c r="AY425" t="str">
        <f t="shared" si="399"/>
        <v>02</v>
      </c>
      <c r="AZ425" t="str">
        <f t="shared" si="400"/>
        <v>計画・２社</v>
      </c>
      <c r="BA425" t="str">
        <f>""</f>
        <v/>
      </c>
      <c r="BB425" t="str">
        <f t="shared" si="377"/>
        <v>ＴＰ１３１フタナシ</v>
      </c>
      <c r="BC425" t="str">
        <f t="shared" si="378"/>
        <v xml:space="preserve"> 335.000</v>
      </c>
      <c r="BD425" t="str">
        <f t="shared" si="379"/>
        <v xml:space="preserve"> 168.000</v>
      </c>
      <c r="BE425" t="str">
        <f t="shared" si="380"/>
        <v xml:space="preserve"> 103.000</v>
      </c>
      <c r="BF425" t="str">
        <f t="shared" si="381"/>
        <v xml:space="preserve">   0.006</v>
      </c>
      <c r="BG425" t="str">
        <f t="shared" si="408"/>
        <v xml:space="preserve">   4.900</v>
      </c>
      <c r="BH425" t="str">
        <f t="shared" si="406"/>
        <v>しない</v>
      </c>
      <c r="BI425" t="str">
        <f>""</f>
        <v/>
      </c>
      <c r="BJ425" t="str">
        <f t="shared" si="403"/>
        <v>MASTER01</v>
      </c>
      <c r="BK425" t="str">
        <f t="shared" si="405"/>
        <v>2022/04/19</v>
      </c>
      <c r="BL425" t="str">
        <f t="shared" si="392"/>
        <v>NE00</v>
      </c>
      <c r="BM425" t="str">
        <f t="shared" si="393"/>
        <v>１工工務Ｇ</v>
      </c>
      <c r="BN425" t="str">
        <f t="shared" si="401"/>
        <v>46548</v>
      </c>
      <c r="BO425" t="str">
        <f t="shared" si="402"/>
        <v>長畑　玲奈</v>
      </c>
    </row>
    <row r="426" spans="1:67">
      <c r="A426" t="s">
        <v>508</v>
      </c>
      <c r="B426" t="str">
        <f>""</f>
        <v/>
      </c>
      <c r="C426" t="str">
        <f>""</f>
        <v/>
      </c>
      <c r="D426" t="str">
        <f t="shared" si="394"/>
        <v>SHIM</v>
      </c>
      <c r="E426" t="str">
        <f t="shared" si="382"/>
        <v>1Y</v>
      </c>
      <c r="F426" t="str">
        <f t="shared" si="383"/>
        <v>第１工場</v>
      </c>
      <c r="G426" t="str">
        <f t="shared" si="384"/>
        <v>手配</v>
      </c>
      <c r="H426" t="str">
        <f t="shared" si="385"/>
        <v>Ｐ</v>
      </c>
      <c r="I426" t="str">
        <f t="shared" si="370"/>
        <v>6454</v>
      </c>
      <c r="J426" t="str">
        <f t="shared" si="371"/>
        <v>（株）ムロコーポレーション</v>
      </c>
      <c r="K426" t="str">
        <f t="shared" si="368"/>
        <v>01</v>
      </c>
      <c r="L426" t="str">
        <f>""</f>
        <v/>
      </c>
      <c r="M426" t="str">
        <f t="shared" si="407"/>
        <v>――</v>
      </c>
      <c r="N426" t="str">
        <f t="shared" si="407"/>
        <v>――</v>
      </c>
      <c r="O426" t="str">
        <f t="shared" si="386"/>
        <v>Ｍ</v>
      </c>
      <c r="P426" t="str">
        <f t="shared" si="387"/>
        <v>01</v>
      </c>
      <c r="Q426" t="str">
        <f t="shared" si="388"/>
        <v>第１</v>
      </c>
      <c r="R426" t="str">
        <f t="shared" si="389"/>
        <v>1Y</v>
      </c>
      <c r="S426" t="str">
        <f t="shared" si="390"/>
        <v>安城第１工場</v>
      </c>
      <c r="T426" t="str">
        <f t="shared" si="391"/>
        <v>直接</v>
      </c>
      <c r="U426" t="str">
        <f>""</f>
        <v/>
      </c>
      <c r="V426" t="str">
        <f>""</f>
        <v/>
      </c>
      <c r="W426" t="str">
        <f>""</f>
        <v/>
      </c>
      <c r="X426">
        <v>1</v>
      </c>
      <c r="Y426">
        <v>1</v>
      </c>
      <c r="Z426">
        <v>0.73</v>
      </c>
      <c r="AA426">
        <v>0.93</v>
      </c>
      <c r="AB426">
        <v>3</v>
      </c>
      <c r="AC426">
        <v>0.93</v>
      </c>
      <c r="AD426">
        <v>0.93</v>
      </c>
      <c r="AE426">
        <v>1.1000000000000001</v>
      </c>
      <c r="AF426">
        <v>0.5</v>
      </c>
      <c r="AG426" t="str">
        <f t="shared" si="372"/>
        <v>205</v>
      </c>
      <c r="AH426" t="str">
        <f t="shared" si="373"/>
        <v>（株）ムロコーポレーション</v>
      </c>
      <c r="AI426" t="str">
        <f>"237"</f>
        <v>237</v>
      </c>
      <c r="AJ426" t="str">
        <f>"S-SM-1-30"</f>
        <v>S-SM-1-30</v>
      </c>
      <c r="AK426" t="str">
        <f>"10282"</f>
        <v>10282</v>
      </c>
      <c r="AL426" t="str">
        <f t="shared" si="395"/>
        <v>0370</v>
      </c>
      <c r="AM426" t="str">
        <f t="shared" si="396"/>
        <v>ｼﾑ</v>
      </c>
      <c r="AN426" t="str">
        <f t="shared" si="374"/>
        <v>012</v>
      </c>
      <c r="AO426" t="str">
        <f t="shared" si="375"/>
        <v>TP-131 ﾊﾝﾖｳ</v>
      </c>
      <c r="AP426">
        <v>100</v>
      </c>
      <c r="AQ426" t="str">
        <f>""</f>
        <v/>
      </c>
      <c r="AR426" t="str">
        <f>""</f>
        <v/>
      </c>
      <c r="AS426" t="str">
        <f>""</f>
        <v/>
      </c>
      <c r="AT426" t="str">
        <f t="shared" si="376"/>
        <v>00</v>
      </c>
      <c r="AU426">
        <v>0.5</v>
      </c>
      <c r="AV426" t="str">
        <f>""</f>
        <v/>
      </c>
      <c r="AW426" t="str">
        <f t="shared" si="397"/>
        <v>06</v>
      </c>
      <c r="AX426" t="str">
        <f t="shared" si="398"/>
        <v>計画</v>
      </c>
      <c r="AY426" t="str">
        <f t="shared" si="399"/>
        <v>02</v>
      </c>
      <c r="AZ426" t="str">
        <f t="shared" si="400"/>
        <v>計画・２社</v>
      </c>
      <c r="BA426" t="str">
        <f>""</f>
        <v/>
      </c>
      <c r="BB426" t="str">
        <f t="shared" si="377"/>
        <v>ＴＰ１３１フタナシ</v>
      </c>
      <c r="BC426" t="str">
        <f t="shared" si="378"/>
        <v xml:space="preserve"> 335.000</v>
      </c>
      <c r="BD426" t="str">
        <f t="shared" si="379"/>
        <v xml:space="preserve"> 168.000</v>
      </c>
      <c r="BE426" t="str">
        <f t="shared" si="380"/>
        <v xml:space="preserve"> 103.000</v>
      </c>
      <c r="BF426" t="str">
        <f t="shared" si="381"/>
        <v xml:space="preserve">   0.006</v>
      </c>
      <c r="BG426" t="str">
        <f t="shared" si="408"/>
        <v xml:space="preserve">   4.900</v>
      </c>
      <c r="BH426" t="str">
        <f t="shared" si="406"/>
        <v>しない</v>
      </c>
      <c r="BI426" t="str">
        <f>""</f>
        <v/>
      </c>
      <c r="BJ426" t="str">
        <f t="shared" si="403"/>
        <v>MASTER01</v>
      </c>
      <c r="BK426" t="str">
        <f t="shared" si="405"/>
        <v>2022/04/19</v>
      </c>
      <c r="BL426" t="str">
        <f t="shared" si="392"/>
        <v>NE00</v>
      </c>
      <c r="BM426" t="str">
        <f t="shared" si="393"/>
        <v>１工工務Ｇ</v>
      </c>
      <c r="BN426" t="str">
        <f t="shared" si="401"/>
        <v>46548</v>
      </c>
      <c r="BO426" t="str">
        <f t="shared" si="402"/>
        <v>長畑　玲奈</v>
      </c>
    </row>
    <row r="427" spans="1:67">
      <c r="A427" t="s">
        <v>509</v>
      </c>
      <c r="B427" t="str">
        <f>""</f>
        <v/>
      </c>
      <c r="C427" t="str">
        <f>""</f>
        <v/>
      </c>
      <c r="D427" t="str">
        <f t="shared" si="394"/>
        <v>SHIM</v>
      </c>
      <c r="E427" t="str">
        <f t="shared" si="382"/>
        <v>1Y</v>
      </c>
      <c r="F427" t="str">
        <f t="shared" si="383"/>
        <v>第１工場</v>
      </c>
      <c r="G427" t="str">
        <f t="shared" si="384"/>
        <v>手配</v>
      </c>
      <c r="H427" t="str">
        <f t="shared" si="385"/>
        <v>Ｐ</v>
      </c>
      <c r="I427" t="str">
        <f t="shared" si="370"/>
        <v>6454</v>
      </c>
      <c r="J427" t="str">
        <f t="shared" si="371"/>
        <v>（株）ムロコーポレーション</v>
      </c>
      <c r="K427" t="str">
        <f t="shared" si="368"/>
        <v>01</v>
      </c>
      <c r="L427" t="str">
        <f>""</f>
        <v/>
      </c>
      <c r="M427" t="str">
        <f t="shared" si="407"/>
        <v>――</v>
      </c>
      <c r="N427" t="str">
        <f t="shared" si="407"/>
        <v>――</v>
      </c>
      <c r="O427" t="str">
        <f t="shared" si="386"/>
        <v>Ｍ</v>
      </c>
      <c r="P427" t="str">
        <f t="shared" si="387"/>
        <v>01</v>
      </c>
      <c r="Q427" t="str">
        <f t="shared" si="388"/>
        <v>第１</v>
      </c>
      <c r="R427" t="str">
        <f t="shared" si="389"/>
        <v>1Y</v>
      </c>
      <c r="S427" t="str">
        <f t="shared" si="390"/>
        <v>安城第１工場</v>
      </c>
      <c r="T427" t="str">
        <f t="shared" si="391"/>
        <v>直接</v>
      </c>
      <c r="U427" t="str">
        <f>""</f>
        <v/>
      </c>
      <c r="V427" t="str">
        <f>""</f>
        <v/>
      </c>
      <c r="W427" t="str">
        <f>""</f>
        <v/>
      </c>
      <c r="X427">
        <v>1</v>
      </c>
      <c r="Y427">
        <v>1</v>
      </c>
      <c r="Z427">
        <v>0.73</v>
      </c>
      <c r="AA427">
        <v>0.93</v>
      </c>
      <c r="AB427">
        <v>3</v>
      </c>
      <c r="AC427">
        <v>0.93</v>
      </c>
      <c r="AD427">
        <v>0.93</v>
      </c>
      <c r="AE427">
        <v>1.1000000000000001</v>
      </c>
      <c r="AF427">
        <v>0.5</v>
      </c>
      <c r="AG427" t="str">
        <f t="shared" si="372"/>
        <v>205</v>
      </c>
      <c r="AH427" t="str">
        <f t="shared" si="373"/>
        <v>（株）ムロコーポレーション</v>
      </c>
      <c r="AI427" t="str">
        <f>"238"</f>
        <v>238</v>
      </c>
      <c r="AJ427" t="str">
        <f>"S-SM-1-31"</f>
        <v>S-SM-1-31</v>
      </c>
      <c r="AK427" t="str">
        <f>"10283"</f>
        <v>10283</v>
      </c>
      <c r="AL427" t="str">
        <f t="shared" si="395"/>
        <v>0370</v>
      </c>
      <c r="AM427" t="str">
        <f t="shared" si="396"/>
        <v>ｼﾑ</v>
      </c>
      <c r="AN427" t="str">
        <f t="shared" si="374"/>
        <v>012</v>
      </c>
      <c r="AO427" t="str">
        <f t="shared" si="375"/>
        <v>TP-131 ﾊﾝﾖｳ</v>
      </c>
      <c r="AP427">
        <v>100</v>
      </c>
      <c r="AQ427" t="str">
        <f>""</f>
        <v/>
      </c>
      <c r="AR427" t="str">
        <f>""</f>
        <v/>
      </c>
      <c r="AS427" t="str">
        <f>""</f>
        <v/>
      </c>
      <c r="AT427" t="str">
        <f t="shared" si="376"/>
        <v>00</v>
      </c>
      <c r="AU427">
        <v>0.5</v>
      </c>
      <c r="AV427" t="str">
        <f>""</f>
        <v/>
      </c>
      <c r="AW427" t="str">
        <f t="shared" si="397"/>
        <v>06</v>
      </c>
      <c r="AX427" t="str">
        <f t="shared" si="398"/>
        <v>計画</v>
      </c>
      <c r="AY427" t="str">
        <f t="shared" si="399"/>
        <v>02</v>
      </c>
      <c r="AZ427" t="str">
        <f t="shared" si="400"/>
        <v>計画・２社</v>
      </c>
      <c r="BA427" t="str">
        <f>""</f>
        <v/>
      </c>
      <c r="BB427" t="str">
        <f t="shared" si="377"/>
        <v>ＴＰ１３１フタナシ</v>
      </c>
      <c r="BC427" t="str">
        <f t="shared" si="378"/>
        <v xml:space="preserve"> 335.000</v>
      </c>
      <c r="BD427" t="str">
        <f t="shared" si="379"/>
        <v xml:space="preserve"> 168.000</v>
      </c>
      <c r="BE427" t="str">
        <f t="shared" si="380"/>
        <v xml:space="preserve"> 103.000</v>
      </c>
      <c r="BF427" t="str">
        <f t="shared" si="381"/>
        <v xml:space="preserve">   0.006</v>
      </c>
      <c r="BG427" t="str">
        <f t="shared" si="408"/>
        <v xml:space="preserve">   4.900</v>
      </c>
      <c r="BH427" t="str">
        <f t="shared" si="406"/>
        <v>しない</v>
      </c>
      <c r="BI427" t="str">
        <f>""</f>
        <v/>
      </c>
      <c r="BJ427" t="str">
        <f t="shared" si="403"/>
        <v>MASTER01</v>
      </c>
      <c r="BK427" t="str">
        <f t="shared" si="405"/>
        <v>2022/04/19</v>
      </c>
      <c r="BL427" t="str">
        <f t="shared" si="392"/>
        <v>NE00</v>
      </c>
      <c r="BM427" t="str">
        <f t="shared" si="393"/>
        <v>１工工務Ｇ</v>
      </c>
      <c r="BN427" t="str">
        <f t="shared" si="401"/>
        <v>46548</v>
      </c>
      <c r="BO427" t="str">
        <f t="shared" si="402"/>
        <v>長畑　玲奈</v>
      </c>
    </row>
    <row r="428" spans="1:67">
      <c r="A428" t="s">
        <v>510</v>
      </c>
      <c r="B428" t="str">
        <f>""</f>
        <v/>
      </c>
      <c r="C428" t="str">
        <f>""</f>
        <v/>
      </c>
      <c r="D428" t="str">
        <f t="shared" si="394"/>
        <v>SHIM</v>
      </c>
      <c r="E428" t="str">
        <f t="shared" si="382"/>
        <v>1Y</v>
      </c>
      <c r="F428" t="str">
        <f t="shared" si="383"/>
        <v>第１工場</v>
      </c>
      <c r="G428" t="str">
        <f t="shared" si="384"/>
        <v>手配</v>
      </c>
      <c r="H428" t="str">
        <f t="shared" si="385"/>
        <v>Ｐ</v>
      </c>
      <c r="I428" t="str">
        <f t="shared" si="370"/>
        <v>6454</v>
      </c>
      <c r="J428" t="str">
        <f t="shared" si="371"/>
        <v>（株）ムロコーポレーション</v>
      </c>
      <c r="K428" t="str">
        <f t="shared" si="368"/>
        <v>01</v>
      </c>
      <c r="L428" t="str">
        <f>""</f>
        <v/>
      </c>
      <c r="M428" t="str">
        <f t="shared" si="407"/>
        <v>――</v>
      </c>
      <c r="N428" t="str">
        <f t="shared" si="407"/>
        <v>――</v>
      </c>
      <c r="O428" t="str">
        <f t="shared" si="386"/>
        <v>Ｍ</v>
      </c>
      <c r="P428" t="str">
        <f t="shared" si="387"/>
        <v>01</v>
      </c>
      <c r="Q428" t="str">
        <f t="shared" si="388"/>
        <v>第１</v>
      </c>
      <c r="R428" t="str">
        <f t="shared" si="389"/>
        <v>1Y</v>
      </c>
      <c r="S428" t="str">
        <f t="shared" si="390"/>
        <v>安城第１工場</v>
      </c>
      <c r="T428" t="str">
        <f t="shared" si="391"/>
        <v>直接</v>
      </c>
      <c r="U428" t="str">
        <f>""</f>
        <v/>
      </c>
      <c r="V428" t="str">
        <f>""</f>
        <v/>
      </c>
      <c r="W428" t="str">
        <f>""</f>
        <v/>
      </c>
      <c r="X428">
        <v>1</v>
      </c>
      <c r="Y428">
        <v>1</v>
      </c>
      <c r="Z428">
        <v>0.73</v>
      </c>
      <c r="AA428">
        <v>0.93</v>
      </c>
      <c r="AB428">
        <v>3</v>
      </c>
      <c r="AC428">
        <v>0.93</v>
      </c>
      <c r="AD428">
        <v>0.93</v>
      </c>
      <c r="AE428">
        <v>1.1000000000000001</v>
      </c>
      <c r="AF428">
        <v>0.5</v>
      </c>
      <c r="AG428" t="str">
        <f t="shared" si="372"/>
        <v>205</v>
      </c>
      <c r="AH428" t="str">
        <f t="shared" si="373"/>
        <v>（株）ムロコーポレーション</v>
      </c>
      <c r="AI428" t="str">
        <f>"239"</f>
        <v>239</v>
      </c>
      <c r="AJ428" t="str">
        <f>"S-SM-1-32"</f>
        <v>S-SM-1-32</v>
      </c>
      <c r="AK428" t="str">
        <f>"10284"</f>
        <v>10284</v>
      </c>
      <c r="AL428" t="str">
        <f t="shared" si="395"/>
        <v>0370</v>
      </c>
      <c r="AM428" t="str">
        <f t="shared" si="396"/>
        <v>ｼﾑ</v>
      </c>
      <c r="AN428" t="str">
        <f t="shared" si="374"/>
        <v>012</v>
      </c>
      <c r="AO428" t="str">
        <f t="shared" si="375"/>
        <v>TP-131 ﾊﾝﾖｳ</v>
      </c>
      <c r="AP428">
        <v>100</v>
      </c>
      <c r="AQ428" t="str">
        <f>""</f>
        <v/>
      </c>
      <c r="AR428" t="str">
        <f>""</f>
        <v/>
      </c>
      <c r="AS428" t="str">
        <f>""</f>
        <v/>
      </c>
      <c r="AT428" t="str">
        <f t="shared" si="376"/>
        <v>00</v>
      </c>
      <c r="AU428">
        <v>0.5</v>
      </c>
      <c r="AV428" t="str">
        <f>""</f>
        <v/>
      </c>
      <c r="AW428" t="str">
        <f t="shared" si="397"/>
        <v>06</v>
      </c>
      <c r="AX428" t="str">
        <f t="shared" si="398"/>
        <v>計画</v>
      </c>
      <c r="AY428" t="str">
        <f t="shared" si="399"/>
        <v>02</v>
      </c>
      <c r="AZ428" t="str">
        <f t="shared" si="400"/>
        <v>計画・２社</v>
      </c>
      <c r="BA428" t="str">
        <f>""</f>
        <v/>
      </c>
      <c r="BB428" t="str">
        <f t="shared" si="377"/>
        <v>ＴＰ１３１フタナシ</v>
      </c>
      <c r="BC428" t="str">
        <f t="shared" si="378"/>
        <v xml:space="preserve"> 335.000</v>
      </c>
      <c r="BD428" t="str">
        <f t="shared" si="379"/>
        <v xml:space="preserve"> 168.000</v>
      </c>
      <c r="BE428" t="str">
        <f t="shared" si="380"/>
        <v xml:space="preserve"> 103.000</v>
      </c>
      <c r="BF428" t="str">
        <f t="shared" si="381"/>
        <v xml:space="preserve">   0.006</v>
      </c>
      <c r="BG428" t="str">
        <f t="shared" si="408"/>
        <v xml:space="preserve">   4.900</v>
      </c>
      <c r="BH428" t="str">
        <f t="shared" si="406"/>
        <v>しない</v>
      </c>
      <c r="BI428" t="str">
        <f>""</f>
        <v/>
      </c>
      <c r="BJ428" t="str">
        <f t="shared" si="403"/>
        <v>MASTER01</v>
      </c>
      <c r="BK428" t="str">
        <f t="shared" si="405"/>
        <v>2022/04/19</v>
      </c>
      <c r="BL428" t="str">
        <f t="shared" si="392"/>
        <v>NE00</v>
      </c>
      <c r="BM428" t="str">
        <f t="shared" si="393"/>
        <v>１工工務Ｇ</v>
      </c>
      <c r="BN428" t="str">
        <f t="shared" si="401"/>
        <v>46548</v>
      </c>
      <c r="BO428" t="str">
        <f t="shared" si="402"/>
        <v>長畑　玲奈</v>
      </c>
    </row>
    <row r="429" spans="1:67">
      <c r="A429" t="s">
        <v>511</v>
      </c>
      <c r="B429" t="str">
        <f>""</f>
        <v/>
      </c>
      <c r="C429" t="str">
        <f>""</f>
        <v/>
      </c>
      <c r="D429" t="str">
        <f t="shared" si="394"/>
        <v>SHIM</v>
      </c>
      <c r="E429" t="str">
        <f t="shared" si="382"/>
        <v>1Y</v>
      </c>
      <c r="F429" t="str">
        <f t="shared" si="383"/>
        <v>第１工場</v>
      </c>
      <c r="G429" t="str">
        <f t="shared" si="384"/>
        <v>手配</v>
      </c>
      <c r="H429" t="str">
        <f t="shared" si="385"/>
        <v>Ｐ</v>
      </c>
      <c r="I429" t="str">
        <f t="shared" si="370"/>
        <v>6454</v>
      </c>
      <c r="J429" t="str">
        <f t="shared" si="371"/>
        <v>（株）ムロコーポレーション</v>
      </c>
      <c r="K429" t="str">
        <f t="shared" si="368"/>
        <v>01</v>
      </c>
      <c r="L429" t="str">
        <f>""</f>
        <v/>
      </c>
      <c r="M429" t="str">
        <f t="shared" si="407"/>
        <v>――</v>
      </c>
      <c r="N429" t="str">
        <f t="shared" si="407"/>
        <v>――</v>
      </c>
      <c r="O429" t="str">
        <f t="shared" si="386"/>
        <v>Ｍ</v>
      </c>
      <c r="P429" t="str">
        <f t="shared" si="387"/>
        <v>01</v>
      </c>
      <c r="Q429" t="str">
        <f t="shared" si="388"/>
        <v>第１</v>
      </c>
      <c r="R429" t="str">
        <f t="shared" si="389"/>
        <v>1Y</v>
      </c>
      <c r="S429" t="str">
        <f t="shared" si="390"/>
        <v>安城第１工場</v>
      </c>
      <c r="T429" t="str">
        <f t="shared" si="391"/>
        <v>直接</v>
      </c>
      <c r="U429" t="str">
        <f>""</f>
        <v/>
      </c>
      <c r="V429" t="str">
        <f>""</f>
        <v/>
      </c>
      <c r="W429" t="str">
        <f>""</f>
        <v/>
      </c>
      <c r="X429">
        <v>1</v>
      </c>
      <c r="Y429">
        <v>1</v>
      </c>
      <c r="Z429">
        <v>0.73</v>
      </c>
      <c r="AA429">
        <v>0.93</v>
      </c>
      <c r="AB429">
        <v>3</v>
      </c>
      <c r="AC429">
        <v>0.93</v>
      </c>
      <c r="AD429">
        <v>0.93</v>
      </c>
      <c r="AE429">
        <v>1.1000000000000001</v>
      </c>
      <c r="AF429">
        <v>0.5</v>
      </c>
      <c r="AG429" t="str">
        <f t="shared" si="372"/>
        <v>205</v>
      </c>
      <c r="AH429" t="str">
        <f t="shared" si="373"/>
        <v>（株）ムロコーポレーション</v>
      </c>
      <c r="AI429" t="str">
        <f>"240"</f>
        <v>240</v>
      </c>
      <c r="AJ429" t="str">
        <f>"S-SM-1-33"</f>
        <v>S-SM-1-33</v>
      </c>
      <c r="AK429" t="str">
        <f>"10285"</f>
        <v>10285</v>
      </c>
      <c r="AL429" t="str">
        <f t="shared" si="395"/>
        <v>0370</v>
      </c>
      <c r="AM429" t="str">
        <f t="shared" si="396"/>
        <v>ｼﾑ</v>
      </c>
      <c r="AN429" t="str">
        <f t="shared" si="374"/>
        <v>012</v>
      </c>
      <c r="AO429" t="str">
        <f t="shared" si="375"/>
        <v>TP-131 ﾊﾝﾖｳ</v>
      </c>
      <c r="AP429">
        <v>100</v>
      </c>
      <c r="AQ429" t="str">
        <f>""</f>
        <v/>
      </c>
      <c r="AR429" t="str">
        <f>""</f>
        <v/>
      </c>
      <c r="AS429" t="str">
        <f>""</f>
        <v/>
      </c>
      <c r="AT429" t="str">
        <f t="shared" si="376"/>
        <v>00</v>
      </c>
      <c r="AU429">
        <v>0.5</v>
      </c>
      <c r="AV429" t="str">
        <f>""</f>
        <v/>
      </c>
      <c r="AW429" t="str">
        <f t="shared" si="397"/>
        <v>06</v>
      </c>
      <c r="AX429" t="str">
        <f t="shared" si="398"/>
        <v>計画</v>
      </c>
      <c r="AY429" t="str">
        <f t="shared" si="399"/>
        <v>02</v>
      </c>
      <c r="AZ429" t="str">
        <f t="shared" si="400"/>
        <v>計画・２社</v>
      </c>
      <c r="BA429" t="str">
        <f>""</f>
        <v/>
      </c>
      <c r="BB429" t="str">
        <f t="shared" si="377"/>
        <v>ＴＰ１３１フタナシ</v>
      </c>
      <c r="BC429" t="str">
        <f t="shared" si="378"/>
        <v xml:space="preserve"> 335.000</v>
      </c>
      <c r="BD429" t="str">
        <f t="shared" si="379"/>
        <v xml:space="preserve"> 168.000</v>
      </c>
      <c r="BE429" t="str">
        <f t="shared" si="380"/>
        <v xml:space="preserve"> 103.000</v>
      </c>
      <c r="BF429" t="str">
        <f t="shared" si="381"/>
        <v xml:space="preserve">   0.006</v>
      </c>
      <c r="BG429" t="str">
        <f t="shared" si="408"/>
        <v xml:space="preserve">   4.900</v>
      </c>
      <c r="BH429" t="str">
        <f t="shared" si="406"/>
        <v>しない</v>
      </c>
      <c r="BI429" t="str">
        <f>""</f>
        <v/>
      </c>
      <c r="BJ429" t="str">
        <f t="shared" si="403"/>
        <v>MASTER01</v>
      </c>
      <c r="BK429" t="str">
        <f t="shared" si="405"/>
        <v>2022/04/19</v>
      </c>
      <c r="BL429" t="str">
        <f t="shared" si="392"/>
        <v>NE00</v>
      </c>
      <c r="BM429" t="str">
        <f t="shared" si="393"/>
        <v>１工工務Ｇ</v>
      </c>
      <c r="BN429" t="str">
        <f t="shared" si="401"/>
        <v>46548</v>
      </c>
      <c r="BO429" t="str">
        <f t="shared" si="402"/>
        <v>長畑　玲奈</v>
      </c>
    </row>
    <row r="430" spans="1:67">
      <c r="A430" t="s">
        <v>512</v>
      </c>
      <c r="B430" t="str">
        <f>""</f>
        <v/>
      </c>
      <c r="C430" t="str">
        <f>""</f>
        <v/>
      </c>
      <c r="D430" t="str">
        <f t="shared" si="394"/>
        <v>SHIM</v>
      </c>
      <c r="E430" t="str">
        <f t="shared" si="382"/>
        <v>1Y</v>
      </c>
      <c r="F430" t="str">
        <f t="shared" si="383"/>
        <v>第１工場</v>
      </c>
      <c r="G430" t="str">
        <f t="shared" si="384"/>
        <v>手配</v>
      </c>
      <c r="H430" t="str">
        <f t="shared" si="385"/>
        <v>Ｐ</v>
      </c>
      <c r="I430" t="str">
        <f t="shared" si="370"/>
        <v>6454</v>
      </c>
      <c r="J430" t="str">
        <f t="shared" si="371"/>
        <v>（株）ムロコーポレーション</v>
      </c>
      <c r="K430" t="str">
        <f t="shared" si="368"/>
        <v>01</v>
      </c>
      <c r="L430" t="str">
        <f>""</f>
        <v/>
      </c>
      <c r="M430" t="str">
        <f t="shared" si="407"/>
        <v>――</v>
      </c>
      <c r="N430" t="str">
        <f t="shared" si="407"/>
        <v>――</v>
      </c>
      <c r="O430" t="str">
        <f t="shared" si="386"/>
        <v>Ｍ</v>
      </c>
      <c r="P430" t="str">
        <f t="shared" si="387"/>
        <v>01</v>
      </c>
      <c r="Q430" t="str">
        <f t="shared" si="388"/>
        <v>第１</v>
      </c>
      <c r="R430" t="str">
        <f t="shared" si="389"/>
        <v>1Y</v>
      </c>
      <c r="S430" t="str">
        <f t="shared" si="390"/>
        <v>安城第１工場</v>
      </c>
      <c r="T430" t="str">
        <f t="shared" si="391"/>
        <v>直接</v>
      </c>
      <c r="U430" t="str">
        <f>""</f>
        <v/>
      </c>
      <c r="V430" t="str">
        <f>""</f>
        <v/>
      </c>
      <c r="W430" t="str">
        <f>""</f>
        <v/>
      </c>
      <c r="X430">
        <v>1</v>
      </c>
      <c r="Y430">
        <v>1</v>
      </c>
      <c r="Z430">
        <v>0.73</v>
      </c>
      <c r="AA430">
        <v>0.93</v>
      </c>
      <c r="AB430">
        <v>3</v>
      </c>
      <c r="AC430">
        <v>0.93</v>
      </c>
      <c r="AD430">
        <v>0.93</v>
      </c>
      <c r="AE430">
        <v>1.1000000000000001</v>
      </c>
      <c r="AF430">
        <v>0.5</v>
      </c>
      <c r="AG430" t="str">
        <f t="shared" si="372"/>
        <v>205</v>
      </c>
      <c r="AH430" t="str">
        <f t="shared" si="373"/>
        <v>（株）ムロコーポレーション</v>
      </c>
      <c r="AI430" t="str">
        <f>"241"</f>
        <v>241</v>
      </c>
      <c r="AJ430" t="str">
        <f>"S-SM-1-34"</f>
        <v>S-SM-1-34</v>
      </c>
      <c r="AK430" t="str">
        <f>"10286"</f>
        <v>10286</v>
      </c>
      <c r="AL430" t="str">
        <f t="shared" si="395"/>
        <v>0370</v>
      </c>
      <c r="AM430" t="str">
        <f t="shared" si="396"/>
        <v>ｼﾑ</v>
      </c>
      <c r="AN430" t="str">
        <f t="shared" si="374"/>
        <v>012</v>
      </c>
      <c r="AO430" t="str">
        <f t="shared" si="375"/>
        <v>TP-131 ﾊﾝﾖｳ</v>
      </c>
      <c r="AP430">
        <v>100</v>
      </c>
      <c r="AQ430" t="str">
        <f>""</f>
        <v/>
      </c>
      <c r="AR430" t="str">
        <f>""</f>
        <v/>
      </c>
      <c r="AS430" t="str">
        <f>""</f>
        <v/>
      </c>
      <c r="AT430" t="str">
        <f t="shared" si="376"/>
        <v>00</v>
      </c>
      <c r="AU430">
        <v>0.5</v>
      </c>
      <c r="AV430" t="str">
        <f>""</f>
        <v/>
      </c>
      <c r="AW430" t="str">
        <f t="shared" si="397"/>
        <v>06</v>
      </c>
      <c r="AX430" t="str">
        <f t="shared" si="398"/>
        <v>計画</v>
      </c>
      <c r="AY430" t="str">
        <f t="shared" si="399"/>
        <v>02</v>
      </c>
      <c r="AZ430" t="str">
        <f t="shared" si="400"/>
        <v>計画・２社</v>
      </c>
      <c r="BA430" t="str">
        <f>""</f>
        <v/>
      </c>
      <c r="BB430" t="str">
        <f t="shared" si="377"/>
        <v>ＴＰ１３１フタナシ</v>
      </c>
      <c r="BC430" t="str">
        <f t="shared" si="378"/>
        <v xml:space="preserve"> 335.000</v>
      </c>
      <c r="BD430" t="str">
        <f t="shared" si="379"/>
        <v xml:space="preserve"> 168.000</v>
      </c>
      <c r="BE430" t="str">
        <f t="shared" si="380"/>
        <v xml:space="preserve"> 103.000</v>
      </c>
      <c r="BF430" t="str">
        <f t="shared" si="381"/>
        <v xml:space="preserve">   0.006</v>
      </c>
      <c r="BG430" t="str">
        <f t="shared" si="408"/>
        <v xml:space="preserve">   4.900</v>
      </c>
      <c r="BH430" t="str">
        <f t="shared" si="406"/>
        <v>しない</v>
      </c>
      <c r="BI430" t="str">
        <f>""</f>
        <v/>
      </c>
      <c r="BJ430" t="str">
        <f t="shared" si="403"/>
        <v>MASTER01</v>
      </c>
      <c r="BK430" t="str">
        <f t="shared" si="405"/>
        <v>2022/04/19</v>
      </c>
      <c r="BL430" t="str">
        <f t="shared" si="392"/>
        <v>NE00</v>
      </c>
      <c r="BM430" t="str">
        <f t="shared" si="393"/>
        <v>１工工務Ｇ</v>
      </c>
      <c r="BN430" t="str">
        <f t="shared" si="401"/>
        <v>46548</v>
      </c>
      <c r="BO430" t="str">
        <f t="shared" si="402"/>
        <v>長畑　玲奈</v>
      </c>
    </row>
    <row r="431" spans="1:67">
      <c r="A431" t="s">
        <v>513</v>
      </c>
      <c r="B431" t="str">
        <f>""</f>
        <v/>
      </c>
      <c r="C431" t="str">
        <f>""</f>
        <v/>
      </c>
      <c r="D431" t="str">
        <f t="shared" si="394"/>
        <v>SHIM</v>
      </c>
      <c r="E431" t="str">
        <f t="shared" si="382"/>
        <v>1Y</v>
      </c>
      <c r="F431" t="str">
        <f t="shared" si="383"/>
        <v>第１工場</v>
      </c>
      <c r="G431" t="str">
        <f t="shared" si="384"/>
        <v>手配</v>
      </c>
      <c r="H431" t="str">
        <f t="shared" si="385"/>
        <v>Ｐ</v>
      </c>
      <c r="I431" t="str">
        <f t="shared" si="370"/>
        <v>6454</v>
      </c>
      <c r="J431" t="str">
        <f t="shared" si="371"/>
        <v>（株）ムロコーポレーション</v>
      </c>
      <c r="K431" t="str">
        <f t="shared" si="368"/>
        <v>01</v>
      </c>
      <c r="L431" t="str">
        <f>""</f>
        <v/>
      </c>
      <c r="M431" t="str">
        <f t="shared" si="407"/>
        <v>――</v>
      </c>
      <c r="N431" t="str">
        <f t="shared" si="407"/>
        <v>――</v>
      </c>
      <c r="O431" t="str">
        <f t="shared" si="386"/>
        <v>Ｍ</v>
      </c>
      <c r="P431" t="str">
        <f t="shared" si="387"/>
        <v>01</v>
      </c>
      <c r="Q431" t="str">
        <f t="shared" si="388"/>
        <v>第１</v>
      </c>
      <c r="R431" t="str">
        <f t="shared" si="389"/>
        <v>1Y</v>
      </c>
      <c r="S431" t="str">
        <f t="shared" si="390"/>
        <v>安城第１工場</v>
      </c>
      <c r="T431" t="str">
        <f t="shared" si="391"/>
        <v>直接</v>
      </c>
      <c r="U431" t="str">
        <f>""</f>
        <v/>
      </c>
      <c r="V431" t="str">
        <f>""</f>
        <v/>
      </c>
      <c r="W431" t="str">
        <f>""</f>
        <v/>
      </c>
      <c r="X431">
        <v>1</v>
      </c>
      <c r="Y431">
        <v>1</v>
      </c>
      <c r="Z431">
        <v>0.73</v>
      </c>
      <c r="AA431">
        <v>0.93</v>
      </c>
      <c r="AB431">
        <v>3</v>
      </c>
      <c r="AC431">
        <v>0.93</v>
      </c>
      <c r="AD431">
        <v>0.93</v>
      </c>
      <c r="AE431">
        <v>1.1000000000000001</v>
      </c>
      <c r="AF431">
        <v>0.5</v>
      </c>
      <c r="AG431" t="str">
        <f t="shared" si="372"/>
        <v>205</v>
      </c>
      <c r="AH431" t="str">
        <f t="shared" si="373"/>
        <v>（株）ムロコーポレーション</v>
      </c>
      <c r="AI431" t="str">
        <f>"242"</f>
        <v>242</v>
      </c>
      <c r="AJ431" t="str">
        <f>"S-SM-1-35"</f>
        <v>S-SM-1-35</v>
      </c>
      <c r="AK431" t="str">
        <f>"10287"</f>
        <v>10287</v>
      </c>
      <c r="AL431" t="str">
        <f t="shared" si="395"/>
        <v>0370</v>
      </c>
      <c r="AM431" t="str">
        <f t="shared" si="396"/>
        <v>ｼﾑ</v>
      </c>
      <c r="AN431" t="str">
        <f t="shared" si="374"/>
        <v>012</v>
      </c>
      <c r="AO431" t="str">
        <f t="shared" si="375"/>
        <v>TP-131 ﾊﾝﾖｳ</v>
      </c>
      <c r="AP431">
        <v>100</v>
      </c>
      <c r="AQ431" t="str">
        <f>""</f>
        <v/>
      </c>
      <c r="AR431" t="str">
        <f>""</f>
        <v/>
      </c>
      <c r="AS431" t="str">
        <f>""</f>
        <v/>
      </c>
      <c r="AT431" t="str">
        <f t="shared" si="376"/>
        <v>00</v>
      </c>
      <c r="AU431">
        <v>0.5</v>
      </c>
      <c r="AV431" t="str">
        <f>""</f>
        <v/>
      </c>
      <c r="AW431" t="str">
        <f t="shared" si="397"/>
        <v>06</v>
      </c>
      <c r="AX431" t="str">
        <f t="shared" si="398"/>
        <v>計画</v>
      </c>
      <c r="AY431" t="str">
        <f t="shared" si="399"/>
        <v>02</v>
      </c>
      <c r="AZ431" t="str">
        <f t="shared" si="400"/>
        <v>計画・２社</v>
      </c>
      <c r="BA431" t="str">
        <f>""</f>
        <v/>
      </c>
      <c r="BB431" t="str">
        <f t="shared" si="377"/>
        <v>ＴＰ１３１フタナシ</v>
      </c>
      <c r="BC431" t="str">
        <f t="shared" si="378"/>
        <v xml:space="preserve"> 335.000</v>
      </c>
      <c r="BD431" t="str">
        <f t="shared" si="379"/>
        <v xml:space="preserve"> 168.000</v>
      </c>
      <c r="BE431" t="str">
        <f t="shared" si="380"/>
        <v xml:space="preserve"> 103.000</v>
      </c>
      <c r="BF431" t="str">
        <f t="shared" si="381"/>
        <v xml:space="preserve">   0.006</v>
      </c>
      <c r="BG431" t="str">
        <f t="shared" si="408"/>
        <v xml:space="preserve">   4.900</v>
      </c>
      <c r="BH431" t="str">
        <f t="shared" si="406"/>
        <v>しない</v>
      </c>
      <c r="BI431" t="str">
        <f>""</f>
        <v/>
      </c>
      <c r="BJ431" t="str">
        <f t="shared" si="403"/>
        <v>MASTER01</v>
      </c>
      <c r="BK431" t="str">
        <f t="shared" si="405"/>
        <v>2022/04/19</v>
      </c>
      <c r="BL431" t="str">
        <f t="shared" si="392"/>
        <v>NE00</v>
      </c>
      <c r="BM431" t="str">
        <f t="shared" si="393"/>
        <v>１工工務Ｇ</v>
      </c>
      <c r="BN431" t="str">
        <f t="shared" si="401"/>
        <v>46548</v>
      </c>
      <c r="BO431" t="str">
        <f t="shared" si="402"/>
        <v>長畑　玲奈</v>
      </c>
    </row>
    <row r="432" spans="1:67">
      <c r="A432" t="s">
        <v>514</v>
      </c>
      <c r="B432" t="str">
        <f>""</f>
        <v/>
      </c>
      <c r="C432" t="str">
        <f>""</f>
        <v/>
      </c>
      <c r="D432" t="str">
        <f t="shared" si="394"/>
        <v>SHIM</v>
      </c>
      <c r="E432" t="str">
        <f t="shared" si="382"/>
        <v>1Y</v>
      </c>
      <c r="F432" t="str">
        <f t="shared" si="383"/>
        <v>第１工場</v>
      </c>
      <c r="G432" t="str">
        <f t="shared" si="384"/>
        <v>手配</v>
      </c>
      <c r="H432" t="str">
        <f t="shared" si="385"/>
        <v>Ｐ</v>
      </c>
      <c r="I432" t="str">
        <f t="shared" si="370"/>
        <v>6454</v>
      </c>
      <c r="J432" t="str">
        <f t="shared" si="371"/>
        <v>（株）ムロコーポレーション</v>
      </c>
      <c r="K432" t="str">
        <f t="shared" si="368"/>
        <v>01</v>
      </c>
      <c r="L432" t="str">
        <f>""</f>
        <v/>
      </c>
      <c r="M432" t="str">
        <f t="shared" si="407"/>
        <v>――</v>
      </c>
      <c r="N432" t="str">
        <f t="shared" si="407"/>
        <v>――</v>
      </c>
      <c r="O432" t="str">
        <f t="shared" si="386"/>
        <v>Ｍ</v>
      </c>
      <c r="P432" t="str">
        <f t="shared" si="387"/>
        <v>01</v>
      </c>
      <c r="Q432" t="str">
        <f t="shared" si="388"/>
        <v>第１</v>
      </c>
      <c r="R432" t="str">
        <f t="shared" si="389"/>
        <v>1Y</v>
      </c>
      <c r="S432" t="str">
        <f t="shared" si="390"/>
        <v>安城第１工場</v>
      </c>
      <c r="T432" t="str">
        <f t="shared" si="391"/>
        <v>直接</v>
      </c>
      <c r="U432" t="str">
        <f>""</f>
        <v/>
      </c>
      <c r="V432" t="str">
        <f>""</f>
        <v/>
      </c>
      <c r="W432" t="str">
        <f>""</f>
        <v/>
      </c>
      <c r="X432">
        <v>1</v>
      </c>
      <c r="Y432">
        <v>1</v>
      </c>
      <c r="Z432">
        <v>0.73</v>
      </c>
      <c r="AA432">
        <v>0.93</v>
      </c>
      <c r="AB432">
        <v>3</v>
      </c>
      <c r="AC432">
        <v>0.93</v>
      </c>
      <c r="AD432">
        <v>0.93</v>
      </c>
      <c r="AE432">
        <v>1.1000000000000001</v>
      </c>
      <c r="AF432">
        <v>0.5</v>
      </c>
      <c r="AG432" t="str">
        <f t="shared" si="372"/>
        <v>205</v>
      </c>
      <c r="AH432" t="str">
        <f t="shared" si="373"/>
        <v>（株）ムロコーポレーション</v>
      </c>
      <c r="AI432" t="str">
        <f>"243"</f>
        <v>243</v>
      </c>
      <c r="AJ432" t="str">
        <f>"S-SM-1-36"</f>
        <v>S-SM-1-36</v>
      </c>
      <c r="AK432" t="str">
        <f>"10288"</f>
        <v>10288</v>
      </c>
      <c r="AL432" t="str">
        <f t="shared" si="395"/>
        <v>0370</v>
      </c>
      <c r="AM432" t="str">
        <f t="shared" si="396"/>
        <v>ｼﾑ</v>
      </c>
      <c r="AN432" t="str">
        <f t="shared" si="374"/>
        <v>012</v>
      </c>
      <c r="AO432" t="str">
        <f t="shared" si="375"/>
        <v>TP-131 ﾊﾝﾖｳ</v>
      </c>
      <c r="AP432">
        <v>100</v>
      </c>
      <c r="AQ432" t="str">
        <f>""</f>
        <v/>
      </c>
      <c r="AR432" t="str">
        <f>""</f>
        <v/>
      </c>
      <c r="AS432" t="str">
        <f>""</f>
        <v/>
      </c>
      <c r="AT432" t="str">
        <f t="shared" si="376"/>
        <v>00</v>
      </c>
      <c r="AU432">
        <v>0.5</v>
      </c>
      <c r="AV432" t="str">
        <f>""</f>
        <v/>
      </c>
      <c r="AW432" t="str">
        <f t="shared" si="397"/>
        <v>06</v>
      </c>
      <c r="AX432" t="str">
        <f t="shared" si="398"/>
        <v>計画</v>
      </c>
      <c r="AY432" t="str">
        <f t="shared" si="399"/>
        <v>02</v>
      </c>
      <c r="AZ432" t="str">
        <f t="shared" si="400"/>
        <v>計画・２社</v>
      </c>
      <c r="BA432" t="str">
        <f>""</f>
        <v/>
      </c>
      <c r="BB432" t="str">
        <f t="shared" si="377"/>
        <v>ＴＰ１３１フタナシ</v>
      </c>
      <c r="BC432" t="str">
        <f t="shared" si="378"/>
        <v xml:space="preserve"> 335.000</v>
      </c>
      <c r="BD432" t="str">
        <f t="shared" si="379"/>
        <v xml:space="preserve"> 168.000</v>
      </c>
      <c r="BE432" t="str">
        <f t="shared" si="380"/>
        <v xml:space="preserve"> 103.000</v>
      </c>
      <c r="BF432" t="str">
        <f t="shared" si="381"/>
        <v xml:space="preserve">   0.006</v>
      </c>
      <c r="BG432" t="str">
        <f t="shared" ref="BG432:BG466" si="409">"   6.500"</f>
        <v xml:space="preserve">   6.500</v>
      </c>
      <c r="BH432" t="str">
        <f t="shared" si="406"/>
        <v>しない</v>
      </c>
      <c r="BI432" t="str">
        <f>""</f>
        <v/>
      </c>
      <c r="BJ432" t="str">
        <f t="shared" si="403"/>
        <v>MASTER01</v>
      </c>
      <c r="BK432" t="str">
        <f t="shared" si="405"/>
        <v>2022/04/19</v>
      </c>
      <c r="BL432" t="str">
        <f t="shared" si="392"/>
        <v>NE00</v>
      </c>
      <c r="BM432" t="str">
        <f t="shared" si="393"/>
        <v>１工工務Ｇ</v>
      </c>
      <c r="BN432" t="str">
        <f t="shared" si="401"/>
        <v>46548</v>
      </c>
      <c r="BO432" t="str">
        <f t="shared" si="402"/>
        <v>長畑　玲奈</v>
      </c>
    </row>
    <row r="433" spans="1:67">
      <c r="A433" t="s">
        <v>515</v>
      </c>
      <c r="B433" t="str">
        <f>""</f>
        <v/>
      </c>
      <c r="C433" t="str">
        <f>""</f>
        <v/>
      </c>
      <c r="D433" t="str">
        <f t="shared" si="394"/>
        <v>SHIM</v>
      </c>
      <c r="E433" t="str">
        <f t="shared" si="382"/>
        <v>1Y</v>
      </c>
      <c r="F433" t="str">
        <f t="shared" si="383"/>
        <v>第１工場</v>
      </c>
      <c r="G433" t="str">
        <f t="shared" si="384"/>
        <v>手配</v>
      </c>
      <c r="H433" t="str">
        <f t="shared" si="385"/>
        <v>Ｐ</v>
      </c>
      <c r="I433" t="str">
        <f t="shared" si="370"/>
        <v>6454</v>
      </c>
      <c r="J433" t="str">
        <f t="shared" si="371"/>
        <v>（株）ムロコーポレーション</v>
      </c>
      <c r="K433" t="str">
        <f t="shared" si="368"/>
        <v>01</v>
      </c>
      <c r="L433" t="str">
        <f>""</f>
        <v/>
      </c>
      <c r="M433" t="str">
        <f t="shared" si="407"/>
        <v>――</v>
      </c>
      <c r="N433" t="str">
        <f t="shared" si="407"/>
        <v>――</v>
      </c>
      <c r="O433" t="str">
        <f t="shared" si="386"/>
        <v>Ｍ</v>
      </c>
      <c r="P433" t="str">
        <f t="shared" si="387"/>
        <v>01</v>
      </c>
      <c r="Q433" t="str">
        <f t="shared" si="388"/>
        <v>第１</v>
      </c>
      <c r="R433" t="str">
        <f t="shared" si="389"/>
        <v>1Y</v>
      </c>
      <c r="S433" t="str">
        <f t="shared" si="390"/>
        <v>安城第１工場</v>
      </c>
      <c r="T433" t="str">
        <f t="shared" si="391"/>
        <v>直接</v>
      </c>
      <c r="U433" t="str">
        <f>""</f>
        <v/>
      </c>
      <c r="V433" t="str">
        <f>""</f>
        <v/>
      </c>
      <c r="W433" t="str">
        <f>""</f>
        <v/>
      </c>
      <c r="X433">
        <v>1</v>
      </c>
      <c r="Y433">
        <v>1</v>
      </c>
      <c r="Z433">
        <v>0.73</v>
      </c>
      <c r="AA433">
        <v>0.93</v>
      </c>
      <c r="AB433">
        <v>3</v>
      </c>
      <c r="AC433">
        <v>0.93</v>
      </c>
      <c r="AD433">
        <v>0.93</v>
      </c>
      <c r="AE433">
        <v>1.1000000000000001</v>
      </c>
      <c r="AF433">
        <v>0.5</v>
      </c>
      <c r="AG433" t="str">
        <f t="shared" si="372"/>
        <v>205</v>
      </c>
      <c r="AH433" t="str">
        <f t="shared" si="373"/>
        <v>（株）ムロコーポレーション</v>
      </c>
      <c r="AI433" t="str">
        <f>"244"</f>
        <v>244</v>
      </c>
      <c r="AJ433" t="str">
        <f>"S-SM-1-37"</f>
        <v>S-SM-1-37</v>
      </c>
      <c r="AK433" t="str">
        <f>"10289"</f>
        <v>10289</v>
      </c>
      <c r="AL433" t="str">
        <f t="shared" si="395"/>
        <v>0370</v>
      </c>
      <c r="AM433" t="str">
        <f t="shared" si="396"/>
        <v>ｼﾑ</v>
      </c>
      <c r="AN433" t="str">
        <f t="shared" si="374"/>
        <v>012</v>
      </c>
      <c r="AO433" t="str">
        <f t="shared" si="375"/>
        <v>TP-131 ﾊﾝﾖｳ</v>
      </c>
      <c r="AP433">
        <v>100</v>
      </c>
      <c r="AQ433" t="str">
        <f>""</f>
        <v/>
      </c>
      <c r="AR433" t="str">
        <f>""</f>
        <v/>
      </c>
      <c r="AS433" t="str">
        <f>""</f>
        <v/>
      </c>
      <c r="AT433" t="str">
        <f t="shared" si="376"/>
        <v>00</v>
      </c>
      <c r="AU433">
        <v>0.5</v>
      </c>
      <c r="AV433" t="str">
        <f>""</f>
        <v/>
      </c>
      <c r="AW433" t="str">
        <f t="shared" si="397"/>
        <v>06</v>
      </c>
      <c r="AX433" t="str">
        <f t="shared" si="398"/>
        <v>計画</v>
      </c>
      <c r="AY433" t="str">
        <f t="shared" si="399"/>
        <v>02</v>
      </c>
      <c r="AZ433" t="str">
        <f t="shared" si="400"/>
        <v>計画・２社</v>
      </c>
      <c r="BA433" t="str">
        <f>""</f>
        <v/>
      </c>
      <c r="BB433" t="str">
        <f t="shared" si="377"/>
        <v>ＴＰ１３１フタナシ</v>
      </c>
      <c r="BC433" t="str">
        <f t="shared" si="378"/>
        <v xml:space="preserve"> 335.000</v>
      </c>
      <c r="BD433" t="str">
        <f t="shared" si="379"/>
        <v xml:space="preserve"> 168.000</v>
      </c>
      <c r="BE433" t="str">
        <f t="shared" si="380"/>
        <v xml:space="preserve"> 103.000</v>
      </c>
      <c r="BF433" t="str">
        <f t="shared" si="381"/>
        <v xml:space="preserve">   0.006</v>
      </c>
      <c r="BG433" t="str">
        <f t="shared" si="409"/>
        <v xml:space="preserve">   6.500</v>
      </c>
      <c r="BH433" t="str">
        <f t="shared" si="406"/>
        <v>しない</v>
      </c>
      <c r="BI433" t="str">
        <f>""</f>
        <v/>
      </c>
      <c r="BJ433" t="str">
        <f t="shared" si="403"/>
        <v>MASTER01</v>
      </c>
      <c r="BK433" t="str">
        <f t="shared" si="405"/>
        <v>2022/04/19</v>
      </c>
      <c r="BL433" t="str">
        <f t="shared" si="392"/>
        <v>NE00</v>
      </c>
      <c r="BM433" t="str">
        <f t="shared" si="393"/>
        <v>１工工務Ｇ</v>
      </c>
      <c r="BN433" t="str">
        <f t="shared" si="401"/>
        <v>46548</v>
      </c>
      <c r="BO433" t="str">
        <f t="shared" si="402"/>
        <v>長畑　玲奈</v>
      </c>
    </row>
    <row r="434" spans="1:67">
      <c r="A434" t="s">
        <v>516</v>
      </c>
      <c r="B434" t="str">
        <f>""</f>
        <v/>
      </c>
      <c r="C434" t="str">
        <f>""</f>
        <v/>
      </c>
      <c r="D434" t="str">
        <f t="shared" si="394"/>
        <v>SHIM</v>
      </c>
      <c r="E434" t="str">
        <f t="shared" si="382"/>
        <v>1Y</v>
      </c>
      <c r="F434" t="str">
        <f t="shared" si="383"/>
        <v>第１工場</v>
      </c>
      <c r="G434" t="str">
        <f t="shared" si="384"/>
        <v>手配</v>
      </c>
      <c r="H434" t="str">
        <f t="shared" si="385"/>
        <v>Ｐ</v>
      </c>
      <c r="I434" t="str">
        <f t="shared" si="370"/>
        <v>6454</v>
      </c>
      <c r="J434" t="str">
        <f t="shared" si="371"/>
        <v>（株）ムロコーポレーション</v>
      </c>
      <c r="K434" t="str">
        <f t="shared" si="368"/>
        <v>01</v>
      </c>
      <c r="L434" t="str">
        <f>""</f>
        <v/>
      </c>
      <c r="M434" t="str">
        <f t="shared" si="407"/>
        <v>――</v>
      </c>
      <c r="N434" t="str">
        <f t="shared" si="407"/>
        <v>――</v>
      </c>
      <c r="O434" t="str">
        <f t="shared" si="386"/>
        <v>Ｍ</v>
      </c>
      <c r="P434" t="str">
        <f t="shared" si="387"/>
        <v>01</v>
      </c>
      <c r="Q434" t="str">
        <f t="shared" si="388"/>
        <v>第１</v>
      </c>
      <c r="R434" t="str">
        <f t="shared" si="389"/>
        <v>1Y</v>
      </c>
      <c r="S434" t="str">
        <f t="shared" si="390"/>
        <v>安城第１工場</v>
      </c>
      <c r="T434" t="str">
        <f t="shared" si="391"/>
        <v>直接</v>
      </c>
      <c r="U434" t="str">
        <f>""</f>
        <v/>
      </c>
      <c r="V434" t="str">
        <f>""</f>
        <v/>
      </c>
      <c r="W434" t="str">
        <f>""</f>
        <v/>
      </c>
      <c r="X434">
        <v>1</v>
      </c>
      <c r="Y434">
        <v>1</v>
      </c>
      <c r="Z434">
        <v>0.73</v>
      </c>
      <c r="AA434">
        <v>0.93</v>
      </c>
      <c r="AB434">
        <v>3</v>
      </c>
      <c r="AC434">
        <v>0.93</v>
      </c>
      <c r="AD434">
        <v>0.93</v>
      </c>
      <c r="AE434">
        <v>1.1000000000000001</v>
      </c>
      <c r="AF434">
        <v>0.5</v>
      </c>
      <c r="AG434" t="str">
        <f t="shared" si="372"/>
        <v>205</v>
      </c>
      <c r="AH434" t="str">
        <f t="shared" si="373"/>
        <v>（株）ムロコーポレーション</v>
      </c>
      <c r="AI434" t="str">
        <f>"245"</f>
        <v>245</v>
      </c>
      <c r="AJ434" t="str">
        <f>"S-SM-4-35"</f>
        <v>S-SM-4-35</v>
      </c>
      <c r="AK434" t="str">
        <f>"10290"</f>
        <v>10290</v>
      </c>
      <c r="AL434" t="str">
        <f t="shared" si="395"/>
        <v>0370</v>
      </c>
      <c r="AM434" t="str">
        <f t="shared" si="396"/>
        <v>ｼﾑ</v>
      </c>
      <c r="AN434" t="str">
        <f t="shared" si="374"/>
        <v>012</v>
      </c>
      <c r="AO434" t="str">
        <f t="shared" si="375"/>
        <v>TP-131 ﾊﾝﾖｳ</v>
      </c>
      <c r="AP434">
        <v>100</v>
      </c>
      <c r="AQ434" t="str">
        <f>""</f>
        <v/>
      </c>
      <c r="AR434" t="str">
        <f>""</f>
        <v/>
      </c>
      <c r="AS434" t="str">
        <f>""</f>
        <v/>
      </c>
      <c r="AT434" t="str">
        <f t="shared" si="376"/>
        <v>00</v>
      </c>
      <c r="AU434">
        <v>0.5</v>
      </c>
      <c r="AV434" t="str">
        <f>""</f>
        <v/>
      </c>
      <c r="AW434" t="str">
        <f t="shared" si="397"/>
        <v>06</v>
      </c>
      <c r="AX434" t="str">
        <f t="shared" si="398"/>
        <v>計画</v>
      </c>
      <c r="AY434" t="str">
        <f t="shared" si="399"/>
        <v>02</v>
      </c>
      <c r="AZ434" t="str">
        <f t="shared" si="400"/>
        <v>計画・２社</v>
      </c>
      <c r="BA434" t="str">
        <f>""</f>
        <v/>
      </c>
      <c r="BB434" t="str">
        <f t="shared" si="377"/>
        <v>ＴＰ１３１フタナシ</v>
      </c>
      <c r="BC434" t="str">
        <f t="shared" si="378"/>
        <v xml:space="preserve"> 335.000</v>
      </c>
      <c r="BD434" t="str">
        <f t="shared" si="379"/>
        <v xml:space="preserve"> 168.000</v>
      </c>
      <c r="BE434" t="str">
        <f t="shared" si="380"/>
        <v xml:space="preserve"> 103.000</v>
      </c>
      <c r="BF434" t="str">
        <f t="shared" si="381"/>
        <v xml:space="preserve">   0.006</v>
      </c>
      <c r="BG434" t="str">
        <f t="shared" si="409"/>
        <v xml:space="preserve">   6.500</v>
      </c>
      <c r="BH434" t="str">
        <f t="shared" si="406"/>
        <v>しない</v>
      </c>
      <c r="BI434" t="str">
        <f>""</f>
        <v/>
      </c>
      <c r="BJ434" t="str">
        <f t="shared" si="403"/>
        <v>MASTER01</v>
      </c>
      <c r="BK434" t="str">
        <f t="shared" si="405"/>
        <v>2022/04/19</v>
      </c>
      <c r="BL434" t="str">
        <f t="shared" si="392"/>
        <v>NE00</v>
      </c>
      <c r="BM434" t="str">
        <f t="shared" si="393"/>
        <v>１工工務Ｇ</v>
      </c>
      <c r="BN434" t="str">
        <f t="shared" si="401"/>
        <v>46548</v>
      </c>
      <c r="BO434" t="str">
        <f t="shared" si="402"/>
        <v>長畑　玲奈</v>
      </c>
    </row>
    <row r="435" spans="1:67">
      <c r="A435" t="s">
        <v>517</v>
      </c>
      <c r="B435" t="str">
        <f>""</f>
        <v/>
      </c>
      <c r="C435" t="str">
        <f>""</f>
        <v/>
      </c>
      <c r="D435" t="str">
        <f t="shared" si="394"/>
        <v>SHIM</v>
      </c>
      <c r="E435" t="str">
        <f t="shared" si="382"/>
        <v>1Y</v>
      </c>
      <c r="F435" t="str">
        <f t="shared" si="383"/>
        <v>第１工場</v>
      </c>
      <c r="G435" t="str">
        <f t="shared" si="384"/>
        <v>手配</v>
      </c>
      <c r="H435" t="str">
        <f t="shared" si="385"/>
        <v>Ｐ</v>
      </c>
      <c r="I435" t="str">
        <f t="shared" si="370"/>
        <v>6454</v>
      </c>
      <c r="J435" t="str">
        <f t="shared" si="371"/>
        <v>（株）ムロコーポレーション</v>
      </c>
      <c r="K435" t="str">
        <f t="shared" si="368"/>
        <v>01</v>
      </c>
      <c r="L435" t="str">
        <f>""</f>
        <v/>
      </c>
      <c r="M435" t="str">
        <f t="shared" si="407"/>
        <v>――</v>
      </c>
      <c r="N435" t="str">
        <f t="shared" si="407"/>
        <v>――</v>
      </c>
      <c r="O435" t="str">
        <f t="shared" si="386"/>
        <v>Ｍ</v>
      </c>
      <c r="P435" t="str">
        <f t="shared" si="387"/>
        <v>01</v>
      </c>
      <c r="Q435" t="str">
        <f t="shared" si="388"/>
        <v>第１</v>
      </c>
      <c r="R435" t="str">
        <f t="shared" si="389"/>
        <v>1Y</v>
      </c>
      <c r="S435" t="str">
        <f t="shared" si="390"/>
        <v>安城第１工場</v>
      </c>
      <c r="T435" t="str">
        <f t="shared" si="391"/>
        <v>直接</v>
      </c>
      <c r="U435" t="str">
        <f>""</f>
        <v/>
      </c>
      <c r="V435" t="str">
        <f>""</f>
        <v/>
      </c>
      <c r="W435" t="str">
        <f>""</f>
        <v/>
      </c>
      <c r="X435">
        <v>1</v>
      </c>
      <c r="Y435">
        <v>1</v>
      </c>
      <c r="Z435">
        <v>0.73</v>
      </c>
      <c r="AA435">
        <v>0.93</v>
      </c>
      <c r="AB435">
        <v>3</v>
      </c>
      <c r="AC435">
        <v>0.93</v>
      </c>
      <c r="AD435">
        <v>0.93</v>
      </c>
      <c r="AE435">
        <v>1.1000000000000001</v>
      </c>
      <c r="AF435">
        <v>0.5</v>
      </c>
      <c r="AG435" t="str">
        <f t="shared" si="372"/>
        <v>205</v>
      </c>
      <c r="AH435" t="str">
        <f t="shared" si="373"/>
        <v>（株）ムロコーポレーション</v>
      </c>
      <c r="AI435" t="str">
        <f>"246"</f>
        <v>246</v>
      </c>
      <c r="AJ435" t="str">
        <f>"S-SM-4-36"</f>
        <v>S-SM-4-36</v>
      </c>
      <c r="AK435" t="str">
        <f>"10291"</f>
        <v>10291</v>
      </c>
      <c r="AL435" t="str">
        <f t="shared" si="395"/>
        <v>0370</v>
      </c>
      <c r="AM435" t="str">
        <f t="shared" si="396"/>
        <v>ｼﾑ</v>
      </c>
      <c r="AN435" t="str">
        <f t="shared" si="374"/>
        <v>012</v>
      </c>
      <c r="AO435" t="str">
        <f t="shared" si="375"/>
        <v>TP-131 ﾊﾝﾖｳ</v>
      </c>
      <c r="AP435">
        <v>100</v>
      </c>
      <c r="AQ435" t="str">
        <f>""</f>
        <v/>
      </c>
      <c r="AR435" t="str">
        <f>""</f>
        <v/>
      </c>
      <c r="AS435" t="str">
        <f>""</f>
        <v/>
      </c>
      <c r="AT435" t="str">
        <f t="shared" si="376"/>
        <v>00</v>
      </c>
      <c r="AU435">
        <v>0.5</v>
      </c>
      <c r="AV435" t="str">
        <f>""</f>
        <v/>
      </c>
      <c r="AW435" t="str">
        <f t="shared" si="397"/>
        <v>06</v>
      </c>
      <c r="AX435" t="str">
        <f t="shared" si="398"/>
        <v>計画</v>
      </c>
      <c r="AY435" t="str">
        <f t="shared" si="399"/>
        <v>02</v>
      </c>
      <c r="AZ435" t="str">
        <f t="shared" si="400"/>
        <v>計画・２社</v>
      </c>
      <c r="BA435" t="str">
        <f>""</f>
        <v/>
      </c>
      <c r="BB435" t="str">
        <f t="shared" si="377"/>
        <v>ＴＰ１３１フタナシ</v>
      </c>
      <c r="BC435" t="str">
        <f t="shared" si="378"/>
        <v xml:space="preserve"> 335.000</v>
      </c>
      <c r="BD435" t="str">
        <f t="shared" si="379"/>
        <v xml:space="preserve"> 168.000</v>
      </c>
      <c r="BE435" t="str">
        <f t="shared" si="380"/>
        <v xml:space="preserve"> 103.000</v>
      </c>
      <c r="BF435" t="str">
        <f t="shared" si="381"/>
        <v xml:space="preserve">   0.006</v>
      </c>
      <c r="BG435" t="str">
        <f t="shared" si="409"/>
        <v xml:space="preserve">   6.500</v>
      </c>
      <c r="BH435" t="str">
        <f t="shared" si="406"/>
        <v>しない</v>
      </c>
      <c r="BI435" t="str">
        <f>""</f>
        <v/>
      </c>
      <c r="BJ435" t="str">
        <f t="shared" si="403"/>
        <v>MASTER01</v>
      </c>
      <c r="BK435" t="str">
        <f t="shared" si="405"/>
        <v>2022/04/19</v>
      </c>
      <c r="BL435" t="str">
        <f t="shared" si="392"/>
        <v>NE00</v>
      </c>
      <c r="BM435" t="str">
        <f t="shared" si="393"/>
        <v>１工工務Ｇ</v>
      </c>
      <c r="BN435" t="str">
        <f t="shared" si="401"/>
        <v>46548</v>
      </c>
      <c r="BO435" t="str">
        <f t="shared" si="402"/>
        <v>長畑　玲奈</v>
      </c>
    </row>
    <row r="436" spans="1:67">
      <c r="A436" t="s">
        <v>518</v>
      </c>
      <c r="B436" t="str">
        <f>""</f>
        <v/>
      </c>
      <c r="C436" t="str">
        <f>""</f>
        <v/>
      </c>
      <c r="D436" t="str">
        <f t="shared" si="394"/>
        <v>SHIM</v>
      </c>
      <c r="E436" t="str">
        <f t="shared" si="382"/>
        <v>1Y</v>
      </c>
      <c r="F436" t="str">
        <f t="shared" si="383"/>
        <v>第１工場</v>
      </c>
      <c r="G436" t="str">
        <f t="shared" si="384"/>
        <v>手配</v>
      </c>
      <c r="H436" t="str">
        <f t="shared" si="385"/>
        <v>Ｐ</v>
      </c>
      <c r="I436" t="str">
        <f t="shared" si="370"/>
        <v>6454</v>
      </c>
      <c r="J436" t="str">
        <f t="shared" si="371"/>
        <v>（株）ムロコーポレーション</v>
      </c>
      <c r="K436" t="str">
        <f t="shared" si="368"/>
        <v>01</v>
      </c>
      <c r="L436" t="str">
        <f>""</f>
        <v/>
      </c>
      <c r="M436" t="str">
        <f t="shared" si="407"/>
        <v>――</v>
      </c>
      <c r="N436" t="str">
        <f t="shared" si="407"/>
        <v>――</v>
      </c>
      <c r="O436" t="str">
        <f t="shared" si="386"/>
        <v>Ｍ</v>
      </c>
      <c r="P436" t="str">
        <f t="shared" si="387"/>
        <v>01</v>
      </c>
      <c r="Q436" t="str">
        <f t="shared" si="388"/>
        <v>第１</v>
      </c>
      <c r="R436" t="str">
        <f t="shared" si="389"/>
        <v>1Y</v>
      </c>
      <c r="S436" t="str">
        <f t="shared" si="390"/>
        <v>安城第１工場</v>
      </c>
      <c r="T436" t="str">
        <f t="shared" si="391"/>
        <v>直接</v>
      </c>
      <c r="U436" t="str">
        <f>""</f>
        <v/>
      </c>
      <c r="V436" t="str">
        <f>""</f>
        <v/>
      </c>
      <c r="W436" t="str">
        <f>""</f>
        <v/>
      </c>
      <c r="X436">
        <v>1</v>
      </c>
      <c r="Y436">
        <v>1</v>
      </c>
      <c r="Z436">
        <v>0.73</v>
      </c>
      <c r="AA436">
        <v>0.93</v>
      </c>
      <c r="AB436">
        <v>3</v>
      </c>
      <c r="AC436">
        <v>0.93</v>
      </c>
      <c r="AD436">
        <v>0.93</v>
      </c>
      <c r="AE436">
        <v>1.1000000000000001</v>
      </c>
      <c r="AF436">
        <v>0.5</v>
      </c>
      <c r="AG436" t="str">
        <f t="shared" si="372"/>
        <v>205</v>
      </c>
      <c r="AH436" t="str">
        <f t="shared" si="373"/>
        <v>（株）ムロコーポレーション</v>
      </c>
      <c r="AI436" t="str">
        <f>"247"</f>
        <v>247</v>
      </c>
      <c r="AJ436" t="str">
        <f>"S-SM-4-37"</f>
        <v>S-SM-4-37</v>
      </c>
      <c r="AK436" t="str">
        <f>"10292"</f>
        <v>10292</v>
      </c>
      <c r="AL436" t="str">
        <f t="shared" si="395"/>
        <v>0370</v>
      </c>
      <c r="AM436" t="str">
        <f t="shared" si="396"/>
        <v>ｼﾑ</v>
      </c>
      <c r="AN436" t="str">
        <f t="shared" si="374"/>
        <v>012</v>
      </c>
      <c r="AO436" t="str">
        <f t="shared" si="375"/>
        <v>TP-131 ﾊﾝﾖｳ</v>
      </c>
      <c r="AP436">
        <v>100</v>
      </c>
      <c r="AQ436" t="str">
        <f>""</f>
        <v/>
      </c>
      <c r="AR436" t="str">
        <f>""</f>
        <v/>
      </c>
      <c r="AS436" t="str">
        <f>""</f>
        <v/>
      </c>
      <c r="AT436" t="str">
        <f t="shared" si="376"/>
        <v>00</v>
      </c>
      <c r="AU436">
        <v>0.5</v>
      </c>
      <c r="AV436" t="str">
        <f>""</f>
        <v/>
      </c>
      <c r="AW436" t="str">
        <f t="shared" si="397"/>
        <v>06</v>
      </c>
      <c r="AX436" t="str">
        <f t="shared" si="398"/>
        <v>計画</v>
      </c>
      <c r="AY436" t="str">
        <f t="shared" si="399"/>
        <v>02</v>
      </c>
      <c r="AZ436" t="str">
        <f t="shared" si="400"/>
        <v>計画・２社</v>
      </c>
      <c r="BA436" t="str">
        <f>""</f>
        <v/>
      </c>
      <c r="BB436" t="str">
        <f t="shared" si="377"/>
        <v>ＴＰ１３１フタナシ</v>
      </c>
      <c r="BC436" t="str">
        <f t="shared" si="378"/>
        <v xml:space="preserve"> 335.000</v>
      </c>
      <c r="BD436" t="str">
        <f t="shared" si="379"/>
        <v xml:space="preserve"> 168.000</v>
      </c>
      <c r="BE436" t="str">
        <f t="shared" si="380"/>
        <v xml:space="preserve"> 103.000</v>
      </c>
      <c r="BF436" t="str">
        <f t="shared" si="381"/>
        <v xml:space="preserve">   0.006</v>
      </c>
      <c r="BG436" t="str">
        <f t="shared" si="409"/>
        <v xml:space="preserve">   6.500</v>
      </c>
      <c r="BH436" t="str">
        <f t="shared" si="406"/>
        <v>しない</v>
      </c>
      <c r="BI436" t="str">
        <f>""</f>
        <v/>
      </c>
      <c r="BJ436" t="str">
        <f t="shared" si="403"/>
        <v>MASTER01</v>
      </c>
      <c r="BK436" t="str">
        <f t="shared" si="405"/>
        <v>2022/04/19</v>
      </c>
      <c r="BL436" t="str">
        <f t="shared" si="392"/>
        <v>NE00</v>
      </c>
      <c r="BM436" t="str">
        <f t="shared" si="393"/>
        <v>１工工務Ｇ</v>
      </c>
      <c r="BN436" t="str">
        <f t="shared" si="401"/>
        <v>46548</v>
      </c>
      <c r="BO436" t="str">
        <f t="shared" si="402"/>
        <v>長畑　玲奈</v>
      </c>
    </row>
    <row r="437" spans="1:67">
      <c r="A437" t="s">
        <v>519</v>
      </c>
      <c r="B437" t="str">
        <f>""</f>
        <v/>
      </c>
      <c r="C437" t="str">
        <f>""</f>
        <v/>
      </c>
      <c r="D437" t="str">
        <f t="shared" si="394"/>
        <v>SHIM</v>
      </c>
      <c r="E437" t="str">
        <f t="shared" si="382"/>
        <v>1Y</v>
      </c>
      <c r="F437" t="str">
        <f t="shared" si="383"/>
        <v>第１工場</v>
      </c>
      <c r="G437" t="str">
        <f t="shared" si="384"/>
        <v>手配</v>
      </c>
      <c r="H437" t="str">
        <f t="shared" si="385"/>
        <v>Ｐ</v>
      </c>
      <c r="I437" t="str">
        <f t="shared" si="370"/>
        <v>6454</v>
      </c>
      <c r="J437" t="str">
        <f t="shared" si="371"/>
        <v>（株）ムロコーポレーション</v>
      </c>
      <c r="K437" t="str">
        <f t="shared" si="368"/>
        <v>01</v>
      </c>
      <c r="L437" t="str">
        <f>""</f>
        <v/>
      </c>
      <c r="M437" t="str">
        <f t="shared" si="407"/>
        <v>――</v>
      </c>
      <c r="N437" t="str">
        <f t="shared" si="407"/>
        <v>――</v>
      </c>
      <c r="O437" t="str">
        <f t="shared" si="386"/>
        <v>Ｍ</v>
      </c>
      <c r="P437" t="str">
        <f t="shared" si="387"/>
        <v>01</v>
      </c>
      <c r="Q437" t="str">
        <f t="shared" si="388"/>
        <v>第１</v>
      </c>
      <c r="R437" t="str">
        <f t="shared" si="389"/>
        <v>1Y</v>
      </c>
      <c r="S437" t="str">
        <f t="shared" si="390"/>
        <v>安城第１工場</v>
      </c>
      <c r="T437" t="str">
        <f t="shared" si="391"/>
        <v>直接</v>
      </c>
      <c r="U437" t="str">
        <f>""</f>
        <v/>
      </c>
      <c r="V437" t="str">
        <f>""</f>
        <v/>
      </c>
      <c r="W437" t="str">
        <f>""</f>
        <v/>
      </c>
      <c r="X437">
        <v>1</v>
      </c>
      <c r="Y437">
        <v>1</v>
      </c>
      <c r="Z437">
        <v>0.73</v>
      </c>
      <c r="AA437">
        <v>0.93</v>
      </c>
      <c r="AB437">
        <v>3</v>
      </c>
      <c r="AC437">
        <v>0.93</v>
      </c>
      <c r="AD437">
        <v>0.93</v>
      </c>
      <c r="AE437">
        <v>1.1000000000000001</v>
      </c>
      <c r="AF437">
        <v>0.5</v>
      </c>
      <c r="AG437" t="str">
        <f t="shared" si="372"/>
        <v>205</v>
      </c>
      <c r="AH437" t="str">
        <f t="shared" si="373"/>
        <v>（株）ムロコーポレーション</v>
      </c>
      <c r="AI437" t="str">
        <f>"248"</f>
        <v>248</v>
      </c>
      <c r="AJ437" t="str">
        <f>"S-SM-4-38"</f>
        <v>S-SM-4-38</v>
      </c>
      <c r="AK437" t="str">
        <f>"10293"</f>
        <v>10293</v>
      </c>
      <c r="AL437" t="str">
        <f t="shared" si="395"/>
        <v>0370</v>
      </c>
      <c r="AM437" t="str">
        <f t="shared" si="396"/>
        <v>ｼﾑ</v>
      </c>
      <c r="AN437" t="str">
        <f t="shared" si="374"/>
        <v>012</v>
      </c>
      <c r="AO437" t="str">
        <f t="shared" si="375"/>
        <v>TP-131 ﾊﾝﾖｳ</v>
      </c>
      <c r="AP437">
        <v>100</v>
      </c>
      <c r="AQ437" t="str">
        <f>""</f>
        <v/>
      </c>
      <c r="AR437" t="str">
        <f>""</f>
        <v/>
      </c>
      <c r="AS437" t="str">
        <f>""</f>
        <v/>
      </c>
      <c r="AT437" t="str">
        <f t="shared" si="376"/>
        <v>00</v>
      </c>
      <c r="AU437">
        <v>0.5</v>
      </c>
      <c r="AV437" t="str">
        <f>""</f>
        <v/>
      </c>
      <c r="AW437" t="str">
        <f t="shared" si="397"/>
        <v>06</v>
      </c>
      <c r="AX437" t="str">
        <f t="shared" si="398"/>
        <v>計画</v>
      </c>
      <c r="AY437" t="str">
        <f t="shared" si="399"/>
        <v>02</v>
      </c>
      <c r="AZ437" t="str">
        <f t="shared" si="400"/>
        <v>計画・２社</v>
      </c>
      <c r="BA437" t="str">
        <f>""</f>
        <v/>
      </c>
      <c r="BB437" t="str">
        <f t="shared" si="377"/>
        <v>ＴＰ１３１フタナシ</v>
      </c>
      <c r="BC437" t="str">
        <f t="shared" si="378"/>
        <v xml:space="preserve"> 335.000</v>
      </c>
      <c r="BD437" t="str">
        <f t="shared" si="379"/>
        <v xml:space="preserve"> 168.000</v>
      </c>
      <c r="BE437" t="str">
        <f t="shared" si="380"/>
        <v xml:space="preserve"> 103.000</v>
      </c>
      <c r="BF437" t="str">
        <f t="shared" si="381"/>
        <v xml:space="preserve">   0.006</v>
      </c>
      <c r="BG437" t="str">
        <f t="shared" si="409"/>
        <v xml:space="preserve">   6.500</v>
      </c>
      <c r="BH437" t="str">
        <f t="shared" si="406"/>
        <v>しない</v>
      </c>
      <c r="BI437" t="str">
        <f>""</f>
        <v/>
      </c>
      <c r="BJ437" t="str">
        <f t="shared" si="403"/>
        <v>MASTER01</v>
      </c>
      <c r="BK437" t="str">
        <f t="shared" si="405"/>
        <v>2022/04/19</v>
      </c>
      <c r="BL437" t="str">
        <f t="shared" si="392"/>
        <v>NE00</v>
      </c>
      <c r="BM437" t="str">
        <f t="shared" si="393"/>
        <v>１工工務Ｇ</v>
      </c>
      <c r="BN437" t="str">
        <f t="shared" si="401"/>
        <v>46548</v>
      </c>
      <c r="BO437" t="str">
        <f t="shared" si="402"/>
        <v>長畑　玲奈</v>
      </c>
    </row>
    <row r="438" spans="1:67">
      <c r="A438" t="s">
        <v>520</v>
      </c>
      <c r="B438" t="str">
        <f>""</f>
        <v/>
      </c>
      <c r="C438" t="str">
        <f>""</f>
        <v/>
      </c>
      <c r="D438" t="str">
        <f t="shared" si="394"/>
        <v>SHIM</v>
      </c>
      <c r="E438" t="str">
        <f t="shared" si="382"/>
        <v>1Y</v>
      </c>
      <c r="F438" t="str">
        <f t="shared" si="383"/>
        <v>第１工場</v>
      </c>
      <c r="G438" t="str">
        <f t="shared" si="384"/>
        <v>手配</v>
      </c>
      <c r="H438" t="str">
        <f t="shared" si="385"/>
        <v>Ｐ</v>
      </c>
      <c r="I438" t="str">
        <f t="shared" si="370"/>
        <v>6454</v>
      </c>
      <c r="J438" t="str">
        <f t="shared" si="371"/>
        <v>（株）ムロコーポレーション</v>
      </c>
      <c r="K438" t="str">
        <f t="shared" si="368"/>
        <v>01</v>
      </c>
      <c r="L438" t="str">
        <f>""</f>
        <v/>
      </c>
      <c r="M438" t="str">
        <f t="shared" si="407"/>
        <v>――</v>
      </c>
      <c r="N438" t="str">
        <f t="shared" si="407"/>
        <v>――</v>
      </c>
      <c r="O438" t="str">
        <f t="shared" si="386"/>
        <v>Ｍ</v>
      </c>
      <c r="P438" t="str">
        <f t="shared" si="387"/>
        <v>01</v>
      </c>
      <c r="Q438" t="str">
        <f t="shared" si="388"/>
        <v>第１</v>
      </c>
      <c r="R438" t="str">
        <f t="shared" si="389"/>
        <v>1Y</v>
      </c>
      <c r="S438" t="str">
        <f t="shared" si="390"/>
        <v>安城第１工場</v>
      </c>
      <c r="T438" t="str">
        <f t="shared" si="391"/>
        <v>直接</v>
      </c>
      <c r="U438" t="str">
        <f>""</f>
        <v/>
      </c>
      <c r="V438" t="str">
        <f>""</f>
        <v/>
      </c>
      <c r="W438" t="str">
        <f>""</f>
        <v/>
      </c>
      <c r="X438">
        <v>1</v>
      </c>
      <c r="Y438">
        <v>1</v>
      </c>
      <c r="Z438">
        <v>0.73</v>
      </c>
      <c r="AA438">
        <v>0.93</v>
      </c>
      <c r="AB438">
        <v>3</v>
      </c>
      <c r="AC438">
        <v>0.93</v>
      </c>
      <c r="AD438">
        <v>0.93</v>
      </c>
      <c r="AE438">
        <v>1.1000000000000001</v>
      </c>
      <c r="AF438">
        <v>0.5</v>
      </c>
      <c r="AG438" t="str">
        <f t="shared" si="372"/>
        <v>205</v>
      </c>
      <c r="AH438" t="str">
        <f t="shared" si="373"/>
        <v>（株）ムロコーポレーション</v>
      </c>
      <c r="AI438" t="str">
        <f>"249"</f>
        <v>249</v>
      </c>
      <c r="AJ438" t="str">
        <f>"S-SM-4-39"</f>
        <v>S-SM-4-39</v>
      </c>
      <c r="AK438" t="str">
        <f>"10294"</f>
        <v>10294</v>
      </c>
      <c r="AL438" t="str">
        <f t="shared" si="395"/>
        <v>0370</v>
      </c>
      <c r="AM438" t="str">
        <f t="shared" si="396"/>
        <v>ｼﾑ</v>
      </c>
      <c r="AN438" t="str">
        <f t="shared" si="374"/>
        <v>012</v>
      </c>
      <c r="AO438" t="str">
        <f t="shared" si="375"/>
        <v>TP-131 ﾊﾝﾖｳ</v>
      </c>
      <c r="AP438">
        <v>100</v>
      </c>
      <c r="AQ438" t="str">
        <f>""</f>
        <v/>
      </c>
      <c r="AR438" t="str">
        <f>""</f>
        <v/>
      </c>
      <c r="AS438" t="str">
        <f>""</f>
        <v/>
      </c>
      <c r="AT438" t="str">
        <f t="shared" si="376"/>
        <v>00</v>
      </c>
      <c r="AU438">
        <v>0.5</v>
      </c>
      <c r="AV438" t="str">
        <f>""</f>
        <v/>
      </c>
      <c r="AW438" t="str">
        <f t="shared" si="397"/>
        <v>06</v>
      </c>
      <c r="AX438" t="str">
        <f t="shared" si="398"/>
        <v>計画</v>
      </c>
      <c r="AY438" t="str">
        <f t="shared" si="399"/>
        <v>02</v>
      </c>
      <c r="AZ438" t="str">
        <f t="shared" si="400"/>
        <v>計画・２社</v>
      </c>
      <c r="BA438" t="str">
        <f>""</f>
        <v/>
      </c>
      <c r="BB438" t="str">
        <f t="shared" si="377"/>
        <v>ＴＰ１３１フタナシ</v>
      </c>
      <c r="BC438" t="str">
        <f t="shared" si="378"/>
        <v xml:space="preserve"> 335.000</v>
      </c>
      <c r="BD438" t="str">
        <f t="shared" si="379"/>
        <v xml:space="preserve"> 168.000</v>
      </c>
      <c r="BE438" t="str">
        <f t="shared" si="380"/>
        <v xml:space="preserve"> 103.000</v>
      </c>
      <c r="BF438" t="str">
        <f t="shared" si="381"/>
        <v xml:space="preserve">   0.006</v>
      </c>
      <c r="BG438" t="str">
        <f t="shared" si="409"/>
        <v xml:space="preserve">   6.500</v>
      </c>
      <c r="BH438" t="str">
        <f t="shared" si="406"/>
        <v>しない</v>
      </c>
      <c r="BI438" t="str">
        <f>""</f>
        <v/>
      </c>
      <c r="BJ438" t="str">
        <f t="shared" si="403"/>
        <v>MASTER01</v>
      </c>
      <c r="BK438" t="str">
        <f t="shared" si="405"/>
        <v>2022/04/19</v>
      </c>
      <c r="BL438" t="str">
        <f t="shared" si="392"/>
        <v>NE00</v>
      </c>
      <c r="BM438" t="str">
        <f t="shared" si="393"/>
        <v>１工工務Ｇ</v>
      </c>
      <c r="BN438" t="str">
        <f t="shared" si="401"/>
        <v>46548</v>
      </c>
      <c r="BO438" t="str">
        <f t="shared" si="402"/>
        <v>長畑　玲奈</v>
      </c>
    </row>
    <row r="439" spans="1:67">
      <c r="A439" t="s">
        <v>521</v>
      </c>
      <c r="B439" t="str">
        <f>""</f>
        <v/>
      </c>
      <c r="C439" t="str">
        <f>""</f>
        <v/>
      </c>
      <c r="D439" t="str">
        <f t="shared" si="394"/>
        <v>SHIM</v>
      </c>
      <c r="E439" t="str">
        <f t="shared" si="382"/>
        <v>1Y</v>
      </c>
      <c r="F439" t="str">
        <f t="shared" si="383"/>
        <v>第１工場</v>
      </c>
      <c r="G439" t="str">
        <f t="shared" si="384"/>
        <v>手配</v>
      </c>
      <c r="H439" t="str">
        <f t="shared" si="385"/>
        <v>Ｐ</v>
      </c>
      <c r="I439" t="str">
        <f t="shared" si="370"/>
        <v>6454</v>
      </c>
      <c r="J439" t="str">
        <f t="shared" si="371"/>
        <v>（株）ムロコーポレーション</v>
      </c>
      <c r="K439" t="str">
        <f t="shared" si="368"/>
        <v>01</v>
      </c>
      <c r="L439" t="str">
        <f>""</f>
        <v/>
      </c>
      <c r="M439" t="str">
        <f t="shared" si="407"/>
        <v>――</v>
      </c>
      <c r="N439" t="str">
        <f t="shared" si="407"/>
        <v>――</v>
      </c>
      <c r="O439" t="str">
        <f t="shared" si="386"/>
        <v>Ｍ</v>
      </c>
      <c r="P439" t="str">
        <f t="shared" si="387"/>
        <v>01</v>
      </c>
      <c r="Q439" t="str">
        <f t="shared" si="388"/>
        <v>第１</v>
      </c>
      <c r="R439" t="str">
        <f t="shared" si="389"/>
        <v>1Y</v>
      </c>
      <c r="S439" t="str">
        <f t="shared" si="390"/>
        <v>安城第１工場</v>
      </c>
      <c r="T439" t="str">
        <f t="shared" si="391"/>
        <v>直接</v>
      </c>
      <c r="U439" t="str">
        <f>""</f>
        <v/>
      </c>
      <c r="V439" t="str">
        <f>""</f>
        <v/>
      </c>
      <c r="W439" t="str">
        <f>""</f>
        <v/>
      </c>
      <c r="X439">
        <v>1</v>
      </c>
      <c r="Y439">
        <v>1</v>
      </c>
      <c r="Z439">
        <v>0.73</v>
      </c>
      <c r="AA439">
        <v>0.93</v>
      </c>
      <c r="AB439">
        <v>3</v>
      </c>
      <c r="AC439">
        <v>0.93</v>
      </c>
      <c r="AD439">
        <v>0.93</v>
      </c>
      <c r="AE439">
        <v>1.1000000000000001</v>
      </c>
      <c r="AF439">
        <v>0.5</v>
      </c>
      <c r="AG439" t="str">
        <f t="shared" si="372"/>
        <v>205</v>
      </c>
      <c r="AH439" t="str">
        <f t="shared" si="373"/>
        <v>（株）ムロコーポレーション</v>
      </c>
      <c r="AI439" t="str">
        <f>"250"</f>
        <v>250</v>
      </c>
      <c r="AJ439" t="str">
        <f>"S-SM-4-40"</f>
        <v>S-SM-4-40</v>
      </c>
      <c r="AK439" t="str">
        <f>"10295"</f>
        <v>10295</v>
      </c>
      <c r="AL439" t="str">
        <f t="shared" si="395"/>
        <v>0370</v>
      </c>
      <c r="AM439" t="str">
        <f t="shared" si="396"/>
        <v>ｼﾑ</v>
      </c>
      <c r="AN439" t="str">
        <f t="shared" si="374"/>
        <v>012</v>
      </c>
      <c r="AO439" t="str">
        <f t="shared" si="375"/>
        <v>TP-131 ﾊﾝﾖｳ</v>
      </c>
      <c r="AP439">
        <v>100</v>
      </c>
      <c r="AQ439" t="str">
        <f>""</f>
        <v/>
      </c>
      <c r="AR439" t="str">
        <f>""</f>
        <v/>
      </c>
      <c r="AS439" t="str">
        <f>""</f>
        <v/>
      </c>
      <c r="AT439" t="str">
        <f t="shared" si="376"/>
        <v>00</v>
      </c>
      <c r="AU439">
        <v>0.5</v>
      </c>
      <c r="AV439" t="str">
        <f>""</f>
        <v/>
      </c>
      <c r="AW439" t="str">
        <f t="shared" si="397"/>
        <v>06</v>
      </c>
      <c r="AX439" t="str">
        <f t="shared" si="398"/>
        <v>計画</v>
      </c>
      <c r="AY439" t="str">
        <f t="shared" si="399"/>
        <v>02</v>
      </c>
      <c r="AZ439" t="str">
        <f t="shared" si="400"/>
        <v>計画・２社</v>
      </c>
      <c r="BA439" t="str">
        <f>""</f>
        <v/>
      </c>
      <c r="BB439" t="str">
        <f t="shared" si="377"/>
        <v>ＴＰ１３１フタナシ</v>
      </c>
      <c r="BC439" t="str">
        <f t="shared" si="378"/>
        <v xml:space="preserve"> 335.000</v>
      </c>
      <c r="BD439" t="str">
        <f t="shared" si="379"/>
        <v xml:space="preserve"> 168.000</v>
      </c>
      <c r="BE439" t="str">
        <f t="shared" si="380"/>
        <v xml:space="preserve"> 103.000</v>
      </c>
      <c r="BF439" t="str">
        <f t="shared" si="381"/>
        <v xml:space="preserve">   0.006</v>
      </c>
      <c r="BG439" t="str">
        <f t="shared" si="409"/>
        <v xml:space="preserve">   6.500</v>
      </c>
      <c r="BH439" t="str">
        <f t="shared" si="406"/>
        <v>しない</v>
      </c>
      <c r="BI439" t="str">
        <f>""</f>
        <v/>
      </c>
      <c r="BJ439" t="str">
        <f t="shared" si="403"/>
        <v>MASTER01</v>
      </c>
      <c r="BK439" t="str">
        <f t="shared" si="405"/>
        <v>2022/04/19</v>
      </c>
      <c r="BL439" t="str">
        <f t="shared" si="392"/>
        <v>NE00</v>
      </c>
      <c r="BM439" t="str">
        <f t="shared" si="393"/>
        <v>１工工務Ｇ</v>
      </c>
      <c r="BN439" t="str">
        <f t="shared" si="401"/>
        <v>46548</v>
      </c>
      <c r="BO439" t="str">
        <f t="shared" si="402"/>
        <v>長畑　玲奈</v>
      </c>
    </row>
    <row r="440" spans="1:67">
      <c r="A440" t="s">
        <v>522</v>
      </c>
      <c r="B440" t="str">
        <f>""</f>
        <v/>
      </c>
      <c r="C440" t="str">
        <f>""</f>
        <v/>
      </c>
      <c r="D440" t="str">
        <f t="shared" si="394"/>
        <v>SHIM</v>
      </c>
      <c r="E440" t="str">
        <f t="shared" si="382"/>
        <v>1Y</v>
      </c>
      <c r="F440" t="str">
        <f t="shared" si="383"/>
        <v>第１工場</v>
      </c>
      <c r="G440" t="str">
        <f t="shared" si="384"/>
        <v>手配</v>
      </c>
      <c r="H440" t="str">
        <f t="shared" si="385"/>
        <v>Ｐ</v>
      </c>
      <c r="I440" t="str">
        <f t="shared" si="370"/>
        <v>6454</v>
      </c>
      <c r="J440" t="str">
        <f t="shared" si="371"/>
        <v>（株）ムロコーポレーション</v>
      </c>
      <c r="K440" t="str">
        <f t="shared" si="368"/>
        <v>01</v>
      </c>
      <c r="L440" t="str">
        <f>""</f>
        <v/>
      </c>
      <c r="M440" t="str">
        <f t="shared" si="407"/>
        <v>――</v>
      </c>
      <c r="N440" t="str">
        <f t="shared" si="407"/>
        <v>――</v>
      </c>
      <c r="O440" t="str">
        <f t="shared" si="386"/>
        <v>Ｍ</v>
      </c>
      <c r="P440" t="str">
        <f t="shared" si="387"/>
        <v>01</v>
      </c>
      <c r="Q440" t="str">
        <f t="shared" si="388"/>
        <v>第１</v>
      </c>
      <c r="R440" t="str">
        <f t="shared" si="389"/>
        <v>1Y</v>
      </c>
      <c r="S440" t="str">
        <f t="shared" si="390"/>
        <v>安城第１工場</v>
      </c>
      <c r="T440" t="str">
        <f t="shared" si="391"/>
        <v>直接</v>
      </c>
      <c r="U440" t="str">
        <f>""</f>
        <v/>
      </c>
      <c r="V440" t="str">
        <f>""</f>
        <v/>
      </c>
      <c r="W440" t="str">
        <f>""</f>
        <v/>
      </c>
      <c r="X440">
        <v>1</v>
      </c>
      <c r="Y440">
        <v>1</v>
      </c>
      <c r="Z440">
        <v>0.73</v>
      </c>
      <c r="AA440">
        <v>0.93</v>
      </c>
      <c r="AB440">
        <v>3</v>
      </c>
      <c r="AC440">
        <v>0.93</v>
      </c>
      <c r="AD440">
        <v>0.93</v>
      </c>
      <c r="AE440">
        <v>1.1000000000000001</v>
      </c>
      <c r="AF440">
        <v>0.5</v>
      </c>
      <c r="AG440" t="str">
        <f t="shared" si="372"/>
        <v>205</v>
      </c>
      <c r="AH440" t="str">
        <f t="shared" si="373"/>
        <v>（株）ムロコーポレーション</v>
      </c>
      <c r="AI440" t="str">
        <f>"251"</f>
        <v>251</v>
      </c>
      <c r="AJ440" t="str">
        <f>"S-SM-4-41"</f>
        <v>S-SM-4-41</v>
      </c>
      <c r="AK440" t="str">
        <f>"10296"</f>
        <v>10296</v>
      </c>
      <c r="AL440" t="str">
        <f t="shared" si="395"/>
        <v>0370</v>
      </c>
      <c r="AM440" t="str">
        <f t="shared" si="396"/>
        <v>ｼﾑ</v>
      </c>
      <c r="AN440" t="str">
        <f t="shared" si="374"/>
        <v>012</v>
      </c>
      <c r="AO440" t="str">
        <f t="shared" si="375"/>
        <v>TP-131 ﾊﾝﾖｳ</v>
      </c>
      <c r="AP440">
        <v>100</v>
      </c>
      <c r="AQ440" t="str">
        <f>""</f>
        <v/>
      </c>
      <c r="AR440" t="str">
        <f>""</f>
        <v/>
      </c>
      <c r="AS440" t="str">
        <f>""</f>
        <v/>
      </c>
      <c r="AT440" t="str">
        <f t="shared" si="376"/>
        <v>00</v>
      </c>
      <c r="AU440">
        <v>0.5</v>
      </c>
      <c r="AV440" t="str">
        <f>""</f>
        <v/>
      </c>
      <c r="AW440" t="str">
        <f t="shared" si="397"/>
        <v>06</v>
      </c>
      <c r="AX440" t="str">
        <f t="shared" si="398"/>
        <v>計画</v>
      </c>
      <c r="AY440" t="str">
        <f t="shared" si="399"/>
        <v>02</v>
      </c>
      <c r="AZ440" t="str">
        <f t="shared" si="400"/>
        <v>計画・２社</v>
      </c>
      <c r="BA440" t="str">
        <f>""</f>
        <v/>
      </c>
      <c r="BB440" t="str">
        <f t="shared" si="377"/>
        <v>ＴＰ１３１フタナシ</v>
      </c>
      <c r="BC440" t="str">
        <f t="shared" si="378"/>
        <v xml:space="preserve"> 335.000</v>
      </c>
      <c r="BD440" t="str">
        <f t="shared" si="379"/>
        <v xml:space="preserve"> 168.000</v>
      </c>
      <c r="BE440" t="str">
        <f t="shared" si="380"/>
        <v xml:space="preserve"> 103.000</v>
      </c>
      <c r="BF440" t="str">
        <f t="shared" si="381"/>
        <v xml:space="preserve">   0.006</v>
      </c>
      <c r="BG440" t="str">
        <f t="shared" si="409"/>
        <v xml:space="preserve">   6.500</v>
      </c>
      <c r="BH440" t="str">
        <f t="shared" si="406"/>
        <v>しない</v>
      </c>
      <c r="BI440" t="str">
        <f>""</f>
        <v/>
      </c>
      <c r="BJ440" t="str">
        <f t="shared" si="403"/>
        <v>MASTER01</v>
      </c>
      <c r="BK440" t="str">
        <f t="shared" si="405"/>
        <v>2022/04/19</v>
      </c>
      <c r="BL440" t="str">
        <f t="shared" si="392"/>
        <v>NE00</v>
      </c>
      <c r="BM440" t="str">
        <f t="shared" si="393"/>
        <v>１工工務Ｇ</v>
      </c>
      <c r="BN440" t="str">
        <f t="shared" si="401"/>
        <v>46548</v>
      </c>
      <c r="BO440" t="str">
        <f t="shared" si="402"/>
        <v>長畑　玲奈</v>
      </c>
    </row>
    <row r="441" spans="1:67">
      <c r="A441" t="s">
        <v>523</v>
      </c>
      <c r="B441" t="str">
        <f>""</f>
        <v/>
      </c>
      <c r="C441" t="str">
        <f>""</f>
        <v/>
      </c>
      <c r="D441" t="str">
        <f t="shared" si="394"/>
        <v>SHIM</v>
      </c>
      <c r="E441" t="str">
        <f t="shared" si="382"/>
        <v>1Y</v>
      </c>
      <c r="F441" t="str">
        <f t="shared" si="383"/>
        <v>第１工場</v>
      </c>
      <c r="G441" t="str">
        <f t="shared" si="384"/>
        <v>手配</v>
      </c>
      <c r="H441" t="str">
        <f t="shared" si="385"/>
        <v>Ｐ</v>
      </c>
      <c r="I441" t="str">
        <f t="shared" si="370"/>
        <v>6454</v>
      </c>
      <c r="J441" t="str">
        <f t="shared" si="371"/>
        <v>（株）ムロコーポレーション</v>
      </c>
      <c r="K441" t="str">
        <f t="shared" si="368"/>
        <v>01</v>
      </c>
      <c r="L441" t="str">
        <f>""</f>
        <v/>
      </c>
      <c r="M441" t="str">
        <f t="shared" si="407"/>
        <v>――</v>
      </c>
      <c r="N441" t="str">
        <f t="shared" si="407"/>
        <v>――</v>
      </c>
      <c r="O441" t="str">
        <f t="shared" si="386"/>
        <v>Ｍ</v>
      </c>
      <c r="P441" t="str">
        <f t="shared" si="387"/>
        <v>01</v>
      </c>
      <c r="Q441" t="str">
        <f t="shared" si="388"/>
        <v>第１</v>
      </c>
      <c r="R441" t="str">
        <f t="shared" si="389"/>
        <v>1Y</v>
      </c>
      <c r="S441" t="str">
        <f t="shared" si="390"/>
        <v>安城第１工場</v>
      </c>
      <c r="T441" t="str">
        <f t="shared" si="391"/>
        <v>直接</v>
      </c>
      <c r="U441" t="str">
        <f>""</f>
        <v/>
      </c>
      <c r="V441" t="str">
        <f>""</f>
        <v/>
      </c>
      <c r="W441" t="str">
        <f>""</f>
        <v/>
      </c>
      <c r="X441">
        <v>1</v>
      </c>
      <c r="Y441">
        <v>1</v>
      </c>
      <c r="Z441">
        <v>0.73</v>
      </c>
      <c r="AA441">
        <v>0.93</v>
      </c>
      <c r="AB441">
        <v>3</v>
      </c>
      <c r="AC441">
        <v>0.93</v>
      </c>
      <c r="AD441">
        <v>0.93</v>
      </c>
      <c r="AE441">
        <v>1.1000000000000001</v>
      </c>
      <c r="AF441">
        <v>0.5</v>
      </c>
      <c r="AG441" t="str">
        <f t="shared" si="372"/>
        <v>205</v>
      </c>
      <c r="AH441" t="str">
        <f t="shared" si="373"/>
        <v>（株）ムロコーポレーション</v>
      </c>
      <c r="AI441" t="str">
        <f>"252"</f>
        <v>252</v>
      </c>
      <c r="AJ441" t="str">
        <f>"S-SM-4-42"</f>
        <v>S-SM-4-42</v>
      </c>
      <c r="AK441" t="str">
        <f>"10297"</f>
        <v>10297</v>
      </c>
      <c r="AL441" t="str">
        <f t="shared" si="395"/>
        <v>0370</v>
      </c>
      <c r="AM441" t="str">
        <f t="shared" si="396"/>
        <v>ｼﾑ</v>
      </c>
      <c r="AN441" t="str">
        <f t="shared" si="374"/>
        <v>012</v>
      </c>
      <c r="AO441" t="str">
        <f t="shared" si="375"/>
        <v>TP-131 ﾊﾝﾖｳ</v>
      </c>
      <c r="AP441">
        <v>100</v>
      </c>
      <c r="AQ441" t="str">
        <f>""</f>
        <v/>
      </c>
      <c r="AR441" t="str">
        <f>""</f>
        <v/>
      </c>
      <c r="AS441" t="str">
        <f>""</f>
        <v/>
      </c>
      <c r="AT441" t="str">
        <f t="shared" si="376"/>
        <v>00</v>
      </c>
      <c r="AU441">
        <v>0.5</v>
      </c>
      <c r="AV441" t="str">
        <f>""</f>
        <v/>
      </c>
      <c r="AW441" t="str">
        <f t="shared" si="397"/>
        <v>06</v>
      </c>
      <c r="AX441" t="str">
        <f t="shared" si="398"/>
        <v>計画</v>
      </c>
      <c r="AY441" t="str">
        <f t="shared" si="399"/>
        <v>02</v>
      </c>
      <c r="AZ441" t="str">
        <f t="shared" si="400"/>
        <v>計画・２社</v>
      </c>
      <c r="BA441" t="str">
        <f>""</f>
        <v/>
      </c>
      <c r="BB441" t="str">
        <f t="shared" si="377"/>
        <v>ＴＰ１３１フタナシ</v>
      </c>
      <c r="BC441" t="str">
        <f t="shared" si="378"/>
        <v xml:space="preserve"> 335.000</v>
      </c>
      <c r="BD441" t="str">
        <f t="shared" si="379"/>
        <v xml:space="preserve"> 168.000</v>
      </c>
      <c r="BE441" t="str">
        <f t="shared" si="380"/>
        <v xml:space="preserve"> 103.000</v>
      </c>
      <c r="BF441" t="str">
        <f t="shared" si="381"/>
        <v xml:space="preserve">   0.006</v>
      </c>
      <c r="BG441" t="str">
        <f t="shared" si="409"/>
        <v xml:space="preserve">   6.500</v>
      </c>
      <c r="BH441" t="str">
        <f t="shared" si="406"/>
        <v>しない</v>
      </c>
      <c r="BI441" t="str">
        <f>""</f>
        <v/>
      </c>
      <c r="BJ441" t="str">
        <f t="shared" si="403"/>
        <v>MASTER01</v>
      </c>
      <c r="BK441" t="str">
        <f t="shared" si="405"/>
        <v>2022/04/19</v>
      </c>
      <c r="BL441" t="str">
        <f t="shared" si="392"/>
        <v>NE00</v>
      </c>
      <c r="BM441" t="str">
        <f t="shared" si="393"/>
        <v>１工工務Ｇ</v>
      </c>
      <c r="BN441" t="str">
        <f t="shared" si="401"/>
        <v>46548</v>
      </c>
      <c r="BO441" t="str">
        <f t="shared" si="402"/>
        <v>長畑　玲奈</v>
      </c>
    </row>
    <row r="442" spans="1:67">
      <c r="A442" t="s">
        <v>524</v>
      </c>
      <c r="B442" t="str">
        <f>""</f>
        <v/>
      </c>
      <c r="C442" t="str">
        <f>""</f>
        <v/>
      </c>
      <c r="D442" t="str">
        <f t="shared" si="394"/>
        <v>SHIM</v>
      </c>
      <c r="E442" t="str">
        <f t="shared" si="382"/>
        <v>1Y</v>
      </c>
      <c r="F442" t="str">
        <f t="shared" si="383"/>
        <v>第１工場</v>
      </c>
      <c r="G442" t="str">
        <f t="shared" si="384"/>
        <v>手配</v>
      </c>
      <c r="H442" t="str">
        <f t="shared" si="385"/>
        <v>Ｐ</v>
      </c>
      <c r="I442" t="str">
        <f t="shared" si="370"/>
        <v>6454</v>
      </c>
      <c r="J442" t="str">
        <f t="shared" si="371"/>
        <v>（株）ムロコーポレーション</v>
      </c>
      <c r="K442" t="str">
        <f t="shared" si="368"/>
        <v>01</v>
      </c>
      <c r="L442" t="str">
        <f>""</f>
        <v/>
      </c>
      <c r="M442" t="str">
        <f t="shared" si="407"/>
        <v>――</v>
      </c>
      <c r="N442" t="str">
        <f t="shared" si="407"/>
        <v>――</v>
      </c>
      <c r="O442" t="str">
        <f t="shared" si="386"/>
        <v>Ｍ</v>
      </c>
      <c r="P442" t="str">
        <f t="shared" si="387"/>
        <v>01</v>
      </c>
      <c r="Q442" t="str">
        <f t="shared" si="388"/>
        <v>第１</v>
      </c>
      <c r="R442" t="str">
        <f t="shared" si="389"/>
        <v>1Y</v>
      </c>
      <c r="S442" t="str">
        <f t="shared" si="390"/>
        <v>安城第１工場</v>
      </c>
      <c r="T442" t="str">
        <f t="shared" si="391"/>
        <v>直接</v>
      </c>
      <c r="U442" t="str">
        <f>""</f>
        <v/>
      </c>
      <c r="V442" t="str">
        <f>""</f>
        <v/>
      </c>
      <c r="W442" t="str">
        <f>""</f>
        <v/>
      </c>
      <c r="X442">
        <v>1</v>
      </c>
      <c r="Y442">
        <v>1</v>
      </c>
      <c r="Z442">
        <v>0.73</v>
      </c>
      <c r="AA442">
        <v>0.93</v>
      </c>
      <c r="AB442">
        <v>3</v>
      </c>
      <c r="AC442">
        <v>0.93</v>
      </c>
      <c r="AD442">
        <v>0.93</v>
      </c>
      <c r="AE442">
        <v>1.1000000000000001</v>
      </c>
      <c r="AF442">
        <v>0.5</v>
      </c>
      <c r="AG442" t="str">
        <f t="shared" si="372"/>
        <v>205</v>
      </c>
      <c r="AH442" t="str">
        <f t="shared" si="373"/>
        <v>（株）ムロコーポレーション</v>
      </c>
      <c r="AI442" t="str">
        <f>"253"</f>
        <v>253</v>
      </c>
      <c r="AJ442" t="str">
        <f>"S-SM-4-43"</f>
        <v>S-SM-4-43</v>
      </c>
      <c r="AK442" t="str">
        <f>"10298"</f>
        <v>10298</v>
      </c>
      <c r="AL442" t="str">
        <f t="shared" si="395"/>
        <v>0370</v>
      </c>
      <c r="AM442" t="str">
        <f t="shared" si="396"/>
        <v>ｼﾑ</v>
      </c>
      <c r="AN442" t="str">
        <f t="shared" si="374"/>
        <v>012</v>
      </c>
      <c r="AO442" t="str">
        <f t="shared" si="375"/>
        <v>TP-131 ﾊﾝﾖｳ</v>
      </c>
      <c r="AP442">
        <v>100</v>
      </c>
      <c r="AQ442" t="str">
        <f>""</f>
        <v/>
      </c>
      <c r="AR442" t="str">
        <f>""</f>
        <v/>
      </c>
      <c r="AS442" t="str">
        <f>""</f>
        <v/>
      </c>
      <c r="AT442" t="str">
        <f t="shared" si="376"/>
        <v>00</v>
      </c>
      <c r="AU442">
        <v>0.5</v>
      </c>
      <c r="AV442" t="str">
        <f>""</f>
        <v/>
      </c>
      <c r="AW442" t="str">
        <f t="shared" si="397"/>
        <v>06</v>
      </c>
      <c r="AX442" t="str">
        <f t="shared" si="398"/>
        <v>計画</v>
      </c>
      <c r="AY442" t="str">
        <f t="shared" si="399"/>
        <v>02</v>
      </c>
      <c r="AZ442" t="str">
        <f t="shared" si="400"/>
        <v>計画・２社</v>
      </c>
      <c r="BA442" t="str">
        <f>""</f>
        <v/>
      </c>
      <c r="BB442" t="str">
        <f t="shared" si="377"/>
        <v>ＴＰ１３１フタナシ</v>
      </c>
      <c r="BC442" t="str">
        <f t="shared" si="378"/>
        <v xml:space="preserve"> 335.000</v>
      </c>
      <c r="BD442" t="str">
        <f t="shared" si="379"/>
        <v xml:space="preserve"> 168.000</v>
      </c>
      <c r="BE442" t="str">
        <f t="shared" si="380"/>
        <v xml:space="preserve"> 103.000</v>
      </c>
      <c r="BF442" t="str">
        <f t="shared" si="381"/>
        <v xml:space="preserve">   0.006</v>
      </c>
      <c r="BG442" t="str">
        <f t="shared" si="409"/>
        <v xml:space="preserve">   6.500</v>
      </c>
      <c r="BH442" t="str">
        <f t="shared" si="406"/>
        <v>しない</v>
      </c>
      <c r="BI442" t="str">
        <f>""</f>
        <v/>
      </c>
      <c r="BJ442" t="str">
        <f t="shared" si="403"/>
        <v>MASTER01</v>
      </c>
      <c r="BK442" t="str">
        <f t="shared" si="405"/>
        <v>2022/04/19</v>
      </c>
      <c r="BL442" t="str">
        <f t="shared" si="392"/>
        <v>NE00</v>
      </c>
      <c r="BM442" t="str">
        <f t="shared" si="393"/>
        <v>１工工務Ｇ</v>
      </c>
      <c r="BN442" t="str">
        <f t="shared" si="401"/>
        <v>46548</v>
      </c>
      <c r="BO442" t="str">
        <f t="shared" si="402"/>
        <v>長畑　玲奈</v>
      </c>
    </row>
    <row r="443" spans="1:67">
      <c r="A443" t="s">
        <v>525</v>
      </c>
      <c r="B443" t="str">
        <f>""</f>
        <v/>
      </c>
      <c r="C443" t="str">
        <f>""</f>
        <v/>
      </c>
      <c r="D443" t="str">
        <f t="shared" si="394"/>
        <v>SHIM</v>
      </c>
      <c r="E443" t="str">
        <f t="shared" si="382"/>
        <v>1Y</v>
      </c>
      <c r="F443" t="str">
        <f t="shared" si="383"/>
        <v>第１工場</v>
      </c>
      <c r="G443" t="str">
        <f t="shared" si="384"/>
        <v>手配</v>
      </c>
      <c r="H443" t="str">
        <f t="shared" si="385"/>
        <v>Ｐ</v>
      </c>
      <c r="I443" t="str">
        <f t="shared" si="370"/>
        <v>6454</v>
      </c>
      <c r="J443" t="str">
        <f t="shared" si="371"/>
        <v>（株）ムロコーポレーション</v>
      </c>
      <c r="K443" t="str">
        <f t="shared" si="368"/>
        <v>01</v>
      </c>
      <c r="L443" t="str">
        <f>""</f>
        <v/>
      </c>
      <c r="M443" t="str">
        <f t="shared" si="407"/>
        <v>――</v>
      </c>
      <c r="N443" t="str">
        <f t="shared" si="407"/>
        <v>――</v>
      </c>
      <c r="O443" t="str">
        <f t="shared" si="386"/>
        <v>Ｍ</v>
      </c>
      <c r="P443" t="str">
        <f t="shared" si="387"/>
        <v>01</v>
      </c>
      <c r="Q443" t="str">
        <f t="shared" si="388"/>
        <v>第１</v>
      </c>
      <c r="R443" t="str">
        <f t="shared" si="389"/>
        <v>1Y</v>
      </c>
      <c r="S443" t="str">
        <f t="shared" si="390"/>
        <v>安城第１工場</v>
      </c>
      <c r="T443" t="str">
        <f t="shared" si="391"/>
        <v>直接</v>
      </c>
      <c r="U443" t="str">
        <f>""</f>
        <v/>
      </c>
      <c r="V443" t="str">
        <f>""</f>
        <v/>
      </c>
      <c r="W443" t="str">
        <f>""</f>
        <v/>
      </c>
      <c r="X443">
        <v>1</v>
      </c>
      <c r="Y443">
        <v>1</v>
      </c>
      <c r="Z443">
        <v>0.73</v>
      </c>
      <c r="AA443">
        <v>0.93</v>
      </c>
      <c r="AB443">
        <v>3</v>
      </c>
      <c r="AC443">
        <v>0.93</v>
      </c>
      <c r="AD443">
        <v>0.93</v>
      </c>
      <c r="AE443">
        <v>1.1000000000000001</v>
      </c>
      <c r="AF443">
        <v>0.5</v>
      </c>
      <c r="AG443" t="str">
        <f t="shared" si="372"/>
        <v>205</v>
      </c>
      <c r="AH443" t="str">
        <f t="shared" si="373"/>
        <v>（株）ムロコーポレーション</v>
      </c>
      <c r="AI443" t="str">
        <f>"254"</f>
        <v>254</v>
      </c>
      <c r="AJ443" t="str">
        <f>"S-SM-4-44"</f>
        <v>S-SM-4-44</v>
      </c>
      <c r="AK443" t="str">
        <f>"10299"</f>
        <v>10299</v>
      </c>
      <c r="AL443" t="str">
        <f t="shared" si="395"/>
        <v>0370</v>
      </c>
      <c r="AM443" t="str">
        <f t="shared" si="396"/>
        <v>ｼﾑ</v>
      </c>
      <c r="AN443" t="str">
        <f t="shared" si="374"/>
        <v>012</v>
      </c>
      <c r="AO443" t="str">
        <f t="shared" si="375"/>
        <v>TP-131 ﾊﾝﾖｳ</v>
      </c>
      <c r="AP443">
        <v>100</v>
      </c>
      <c r="AQ443" t="str">
        <f>""</f>
        <v/>
      </c>
      <c r="AR443" t="str">
        <f>""</f>
        <v/>
      </c>
      <c r="AS443" t="str">
        <f>""</f>
        <v/>
      </c>
      <c r="AT443" t="str">
        <f t="shared" si="376"/>
        <v>00</v>
      </c>
      <c r="AU443">
        <v>0.5</v>
      </c>
      <c r="AV443" t="str">
        <f>""</f>
        <v/>
      </c>
      <c r="AW443" t="str">
        <f t="shared" si="397"/>
        <v>06</v>
      </c>
      <c r="AX443" t="str">
        <f t="shared" si="398"/>
        <v>計画</v>
      </c>
      <c r="AY443" t="str">
        <f t="shared" si="399"/>
        <v>02</v>
      </c>
      <c r="AZ443" t="str">
        <f t="shared" si="400"/>
        <v>計画・２社</v>
      </c>
      <c r="BA443" t="str">
        <f>""</f>
        <v/>
      </c>
      <c r="BB443" t="str">
        <f t="shared" si="377"/>
        <v>ＴＰ１３１フタナシ</v>
      </c>
      <c r="BC443" t="str">
        <f t="shared" si="378"/>
        <v xml:space="preserve"> 335.000</v>
      </c>
      <c r="BD443" t="str">
        <f t="shared" si="379"/>
        <v xml:space="preserve"> 168.000</v>
      </c>
      <c r="BE443" t="str">
        <f t="shared" si="380"/>
        <v xml:space="preserve"> 103.000</v>
      </c>
      <c r="BF443" t="str">
        <f t="shared" si="381"/>
        <v xml:space="preserve">   0.006</v>
      </c>
      <c r="BG443" t="str">
        <f t="shared" si="409"/>
        <v xml:space="preserve">   6.500</v>
      </c>
      <c r="BH443" t="str">
        <f t="shared" si="406"/>
        <v>しない</v>
      </c>
      <c r="BI443" t="str">
        <f>""</f>
        <v/>
      </c>
      <c r="BJ443" t="str">
        <f t="shared" si="403"/>
        <v>MASTER01</v>
      </c>
      <c r="BK443" t="str">
        <f t="shared" si="405"/>
        <v>2022/04/19</v>
      </c>
      <c r="BL443" t="str">
        <f t="shared" si="392"/>
        <v>NE00</v>
      </c>
      <c r="BM443" t="str">
        <f t="shared" si="393"/>
        <v>１工工務Ｇ</v>
      </c>
      <c r="BN443" t="str">
        <f t="shared" si="401"/>
        <v>46548</v>
      </c>
      <c r="BO443" t="str">
        <f t="shared" si="402"/>
        <v>長畑　玲奈</v>
      </c>
    </row>
    <row r="444" spans="1:67">
      <c r="A444" t="s">
        <v>526</v>
      </c>
      <c r="B444" t="str">
        <f>""</f>
        <v/>
      </c>
      <c r="C444" t="str">
        <f>""</f>
        <v/>
      </c>
      <c r="D444" t="str">
        <f t="shared" si="394"/>
        <v>SHIM</v>
      </c>
      <c r="E444" t="str">
        <f t="shared" si="382"/>
        <v>1Y</v>
      </c>
      <c r="F444" t="str">
        <f t="shared" si="383"/>
        <v>第１工場</v>
      </c>
      <c r="G444" t="str">
        <f t="shared" si="384"/>
        <v>手配</v>
      </c>
      <c r="H444" t="str">
        <f t="shared" si="385"/>
        <v>Ｐ</v>
      </c>
      <c r="I444" t="str">
        <f t="shared" si="370"/>
        <v>6454</v>
      </c>
      <c r="J444" t="str">
        <f t="shared" si="371"/>
        <v>（株）ムロコーポレーション</v>
      </c>
      <c r="K444" t="str">
        <f t="shared" ref="K444:K507" si="410">"01"</f>
        <v>01</v>
      </c>
      <c r="L444" t="str">
        <f>""</f>
        <v/>
      </c>
      <c r="M444" t="str">
        <f t="shared" si="407"/>
        <v>――</v>
      </c>
      <c r="N444" t="str">
        <f t="shared" si="407"/>
        <v>――</v>
      </c>
      <c r="O444" t="str">
        <f t="shared" si="386"/>
        <v>Ｍ</v>
      </c>
      <c r="P444" t="str">
        <f t="shared" si="387"/>
        <v>01</v>
      </c>
      <c r="Q444" t="str">
        <f t="shared" si="388"/>
        <v>第１</v>
      </c>
      <c r="R444" t="str">
        <f t="shared" si="389"/>
        <v>1Y</v>
      </c>
      <c r="S444" t="str">
        <f t="shared" si="390"/>
        <v>安城第１工場</v>
      </c>
      <c r="T444" t="str">
        <f t="shared" si="391"/>
        <v>直接</v>
      </c>
      <c r="U444" t="str">
        <f>""</f>
        <v/>
      </c>
      <c r="V444" t="str">
        <f>""</f>
        <v/>
      </c>
      <c r="W444" t="str">
        <f>""</f>
        <v/>
      </c>
      <c r="X444">
        <v>1</v>
      </c>
      <c r="Y444">
        <v>1</v>
      </c>
      <c r="Z444">
        <v>0.73</v>
      </c>
      <c r="AA444">
        <v>0.93</v>
      </c>
      <c r="AB444">
        <v>3</v>
      </c>
      <c r="AC444">
        <v>0.93</v>
      </c>
      <c r="AD444">
        <v>0.93</v>
      </c>
      <c r="AE444">
        <v>1.1000000000000001</v>
      </c>
      <c r="AF444">
        <v>0.5</v>
      </c>
      <c r="AG444" t="str">
        <f t="shared" si="372"/>
        <v>205</v>
      </c>
      <c r="AH444" t="str">
        <f t="shared" si="373"/>
        <v>（株）ムロコーポレーション</v>
      </c>
      <c r="AI444" t="str">
        <f>"255"</f>
        <v>255</v>
      </c>
      <c r="AJ444" t="str">
        <f>"S-SM-4-45"</f>
        <v>S-SM-4-45</v>
      </c>
      <c r="AK444" t="str">
        <f>"10300"</f>
        <v>10300</v>
      </c>
      <c r="AL444" t="str">
        <f t="shared" si="395"/>
        <v>0370</v>
      </c>
      <c r="AM444" t="str">
        <f t="shared" si="396"/>
        <v>ｼﾑ</v>
      </c>
      <c r="AN444" t="str">
        <f t="shared" si="374"/>
        <v>012</v>
      </c>
      <c r="AO444" t="str">
        <f t="shared" si="375"/>
        <v>TP-131 ﾊﾝﾖｳ</v>
      </c>
      <c r="AP444">
        <v>100</v>
      </c>
      <c r="AQ444" t="str">
        <f>""</f>
        <v/>
      </c>
      <c r="AR444" t="str">
        <f>""</f>
        <v/>
      </c>
      <c r="AS444" t="str">
        <f>""</f>
        <v/>
      </c>
      <c r="AT444" t="str">
        <f t="shared" si="376"/>
        <v>00</v>
      </c>
      <c r="AU444">
        <v>0.5</v>
      </c>
      <c r="AV444" t="str">
        <f>""</f>
        <v/>
      </c>
      <c r="AW444" t="str">
        <f t="shared" si="397"/>
        <v>06</v>
      </c>
      <c r="AX444" t="str">
        <f t="shared" si="398"/>
        <v>計画</v>
      </c>
      <c r="AY444" t="str">
        <f t="shared" si="399"/>
        <v>02</v>
      </c>
      <c r="AZ444" t="str">
        <f t="shared" si="400"/>
        <v>計画・２社</v>
      </c>
      <c r="BA444" t="str">
        <f>""</f>
        <v/>
      </c>
      <c r="BB444" t="str">
        <f t="shared" si="377"/>
        <v>ＴＰ１３１フタナシ</v>
      </c>
      <c r="BC444" t="str">
        <f t="shared" si="378"/>
        <v xml:space="preserve"> 335.000</v>
      </c>
      <c r="BD444" t="str">
        <f t="shared" si="379"/>
        <v xml:space="preserve"> 168.000</v>
      </c>
      <c r="BE444" t="str">
        <f t="shared" si="380"/>
        <v xml:space="preserve"> 103.000</v>
      </c>
      <c r="BF444" t="str">
        <f t="shared" si="381"/>
        <v xml:space="preserve">   0.006</v>
      </c>
      <c r="BG444" t="str">
        <f t="shared" si="409"/>
        <v xml:space="preserve">   6.500</v>
      </c>
      <c r="BH444" t="str">
        <f t="shared" si="406"/>
        <v>しない</v>
      </c>
      <c r="BI444" t="str">
        <f>""</f>
        <v/>
      </c>
      <c r="BJ444" t="str">
        <f t="shared" si="403"/>
        <v>MASTER01</v>
      </c>
      <c r="BK444" t="str">
        <f t="shared" si="405"/>
        <v>2022/04/19</v>
      </c>
      <c r="BL444" t="str">
        <f t="shared" si="392"/>
        <v>NE00</v>
      </c>
      <c r="BM444" t="str">
        <f t="shared" si="393"/>
        <v>１工工務Ｇ</v>
      </c>
      <c r="BN444" t="str">
        <f t="shared" si="401"/>
        <v>46548</v>
      </c>
      <c r="BO444" t="str">
        <f t="shared" si="402"/>
        <v>長畑　玲奈</v>
      </c>
    </row>
    <row r="445" spans="1:67">
      <c r="A445" t="s">
        <v>527</v>
      </c>
      <c r="B445" t="str">
        <f>""</f>
        <v/>
      </c>
      <c r="C445" t="str">
        <f>""</f>
        <v/>
      </c>
      <c r="D445" t="str">
        <f t="shared" si="394"/>
        <v>SHIM</v>
      </c>
      <c r="E445" t="str">
        <f t="shared" si="382"/>
        <v>1Y</v>
      </c>
      <c r="F445" t="str">
        <f t="shared" si="383"/>
        <v>第１工場</v>
      </c>
      <c r="G445" t="str">
        <f t="shared" si="384"/>
        <v>手配</v>
      </c>
      <c r="H445" t="str">
        <f t="shared" si="385"/>
        <v>Ｐ</v>
      </c>
      <c r="I445" t="str">
        <f t="shared" si="370"/>
        <v>6454</v>
      </c>
      <c r="J445" t="str">
        <f t="shared" si="371"/>
        <v>（株）ムロコーポレーション</v>
      </c>
      <c r="K445" t="str">
        <f t="shared" si="410"/>
        <v>01</v>
      </c>
      <c r="L445" t="str">
        <f>""</f>
        <v/>
      </c>
      <c r="M445" t="str">
        <f t="shared" si="407"/>
        <v>――</v>
      </c>
      <c r="N445" t="str">
        <f t="shared" si="407"/>
        <v>――</v>
      </c>
      <c r="O445" t="str">
        <f t="shared" si="386"/>
        <v>Ｍ</v>
      </c>
      <c r="P445" t="str">
        <f t="shared" si="387"/>
        <v>01</v>
      </c>
      <c r="Q445" t="str">
        <f t="shared" si="388"/>
        <v>第１</v>
      </c>
      <c r="R445" t="str">
        <f t="shared" si="389"/>
        <v>1Y</v>
      </c>
      <c r="S445" t="str">
        <f t="shared" si="390"/>
        <v>安城第１工場</v>
      </c>
      <c r="T445" t="str">
        <f t="shared" si="391"/>
        <v>直接</v>
      </c>
      <c r="U445" t="str">
        <f>""</f>
        <v/>
      </c>
      <c r="V445" t="str">
        <f>""</f>
        <v/>
      </c>
      <c r="W445" t="str">
        <f>""</f>
        <v/>
      </c>
      <c r="X445">
        <v>1</v>
      </c>
      <c r="Y445">
        <v>1</v>
      </c>
      <c r="Z445">
        <v>0.73</v>
      </c>
      <c r="AA445">
        <v>0.93</v>
      </c>
      <c r="AB445">
        <v>3</v>
      </c>
      <c r="AC445">
        <v>0.93</v>
      </c>
      <c r="AD445">
        <v>0.93</v>
      </c>
      <c r="AE445">
        <v>1.1000000000000001</v>
      </c>
      <c r="AF445">
        <v>0.5</v>
      </c>
      <c r="AG445" t="str">
        <f t="shared" si="372"/>
        <v>205</v>
      </c>
      <c r="AH445" t="str">
        <f t="shared" si="373"/>
        <v>（株）ムロコーポレーション</v>
      </c>
      <c r="AI445" t="str">
        <f>"256"</f>
        <v>256</v>
      </c>
      <c r="AJ445" t="str">
        <f>"S-SM-4-46"</f>
        <v>S-SM-4-46</v>
      </c>
      <c r="AK445" t="str">
        <f>"10301"</f>
        <v>10301</v>
      </c>
      <c r="AL445" t="str">
        <f t="shared" si="395"/>
        <v>0370</v>
      </c>
      <c r="AM445" t="str">
        <f t="shared" si="396"/>
        <v>ｼﾑ</v>
      </c>
      <c r="AN445" t="str">
        <f t="shared" si="374"/>
        <v>012</v>
      </c>
      <c r="AO445" t="str">
        <f t="shared" si="375"/>
        <v>TP-131 ﾊﾝﾖｳ</v>
      </c>
      <c r="AP445">
        <v>100</v>
      </c>
      <c r="AQ445" t="str">
        <f>""</f>
        <v/>
      </c>
      <c r="AR445" t="str">
        <f>""</f>
        <v/>
      </c>
      <c r="AS445" t="str">
        <f>""</f>
        <v/>
      </c>
      <c r="AT445" t="str">
        <f t="shared" si="376"/>
        <v>00</v>
      </c>
      <c r="AU445">
        <v>0.5</v>
      </c>
      <c r="AV445" t="str">
        <f>""</f>
        <v/>
      </c>
      <c r="AW445" t="str">
        <f t="shared" si="397"/>
        <v>06</v>
      </c>
      <c r="AX445" t="str">
        <f t="shared" si="398"/>
        <v>計画</v>
      </c>
      <c r="AY445" t="str">
        <f t="shared" si="399"/>
        <v>02</v>
      </c>
      <c r="AZ445" t="str">
        <f t="shared" si="400"/>
        <v>計画・２社</v>
      </c>
      <c r="BA445" t="str">
        <f>""</f>
        <v/>
      </c>
      <c r="BB445" t="str">
        <f t="shared" si="377"/>
        <v>ＴＰ１３１フタナシ</v>
      </c>
      <c r="BC445" t="str">
        <f t="shared" si="378"/>
        <v xml:space="preserve"> 335.000</v>
      </c>
      <c r="BD445" t="str">
        <f t="shared" si="379"/>
        <v xml:space="preserve"> 168.000</v>
      </c>
      <c r="BE445" t="str">
        <f t="shared" si="380"/>
        <v xml:space="preserve"> 103.000</v>
      </c>
      <c r="BF445" t="str">
        <f t="shared" si="381"/>
        <v xml:space="preserve">   0.006</v>
      </c>
      <c r="BG445" t="str">
        <f t="shared" si="409"/>
        <v xml:space="preserve">   6.500</v>
      </c>
      <c r="BH445" t="str">
        <f t="shared" si="406"/>
        <v>しない</v>
      </c>
      <c r="BI445" t="str">
        <f>""</f>
        <v/>
      </c>
      <c r="BJ445" t="str">
        <f t="shared" si="403"/>
        <v>MASTER01</v>
      </c>
      <c r="BK445" t="str">
        <f t="shared" si="405"/>
        <v>2022/04/19</v>
      </c>
      <c r="BL445" t="str">
        <f t="shared" si="392"/>
        <v>NE00</v>
      </c>
      <c r="BM445" t="str">
        <f t="shared" si="393"/>
        <v>１工工務Ｇ</v>
      </c>
      <c r="BN445" t="str">
        <f t="shared" si="401"/>
        <v>46548</v>
      </c>
      <c r="BO445" t="str">
        <f t="shared" si="402"/>
        <v>長畑　玲奈</v>
      </c>
    </row>
    <row r="446" spans="1:67">
      <c r="A446" t="s">
        <v>528</v>
      </c>
      <c r="B446" t="str">
        <f>""</f>
        <v/>
      </c>
      <c r="C446" t="str">
        <f>""</f>
        <v/>
      </c>
      <c r="D446" t="str">
        <f t="shared" si="394"/>
        <v>SHIM</v>
      </c>
      <c r="E446" t="str">
        <f t="shared" si="382"/>
        <v>1Y</v>
      </c>
      <c r="F446" t="str">
        <f t="shared" si="383"/>
        <v>第１工場</v>
      </c>
      <c r="G446" t="str">
        <f t="shared" si="384"/>
        <v>手配</v>
      </c>
      <c r="H446" t="str">
        <f t="shared" si="385"/>
        <v>Ｐ</v>
      </c>
      <c r="I446" t="str">
        <f t="shared" si="370"/>
        <v>6454</v>
      </c>
      <c r="J446" t="str">
        <f t="shared" si="371"/>
        <v>（株）ムロコーポレーション</v>
      </c>
      <c r="K446" t="str">
        <f t="shared" si="410"/>
        <v>01</v>
      </c>
      <c r="L446" t="str">
        <f>""</f>
        <v/>
      </c>
      <c r="M446" t="str">
        <f t="shared" si="407"/>
        <v>――</v>
      </c>
      <c r="N446" t="str">
        <f t="shared" si="407"/>
        <v>――</v>
      </c>
      <c r="O446" t="str">
        <f t="shared" si="386"/>
        <v>Ｍ</v>
      </c>
      <c r="P446" t="str">
        <f t="shared" si="387"/>
        <v>01</v>
      </c>
      <c r="Q446" t="str">
        <f t="shared" si="388"/>
        <v>第１</v>
      </c>
      <c r="R446" t="str">
        <f t="shared" si="389"/>
        <v>1Y</v>
      </c>
      <c r="S446" t="str">
        <f t="shared" si="390"/>
        <v>安城第１工場</v>
      </c>
      <c r="T446" t="str">
        <f t="shared" si="391"/>
        <v>直接</v>
      </c>
      <c r="U446" t="str">
        <f>""</f>
        <v/>
      </c>
      <c r="V446" t="str">
        <f>""</f>
        <v/>
      </c>
      <c r="W446" t="str">
        <f>""</f>
        <v/>
      </c>
      <c r="X446">
        <v>1</v>
      </c>
      <c r="Y446">
        <v>1</v>
      </c>
      <c r="Z446">
        <v>0.73</v>
      </c>
      <c r="AA446">
        <v>0.93</v>
      </c>
      <c r="AB446">
        <v>3</v>
      </c>
      <c r="AC446">
        <v>0.93</v>
      </c>
      <c r="AD446">
        <v>0.93</v>
      </c>
      <c r="AE446">
        <v>1.1000000000000001</v>
      </c>
      <c r="AF446">
        <v>0.5</v>
      </c>
      <c r="AG446" t="str">
        <f t="shared" si="372"/>
        <v>205</v>
      </c>
      <c r="AH446" t="str">
        <f t="shared" si="373"/>
        <v>（株）ムロコーポレーション</v>
      </c>
      <c r="AI446" t="str">
        <f>"257"</f>
        <v>257</v>
      </c>
      <c r="AJ446" t="str">
        <f>"S-SM-4-47"</f>
        <v>S-SM-4-47</v>
      </c>
      <c r="AK446" t="str">
        <f>"10302"</f>
        <v>10302</v>
      </c>
      <c r="AL446" t="str">
        <f t="shared" si="395"/>
        <v>0370</v>
      </c>
      <c r="AM446" t="str">
        <f t="shared" si="396"/>
        <v>ｼﾑ</v>
      </c>
      <c r="AN446" t="str">
        <f t="shared" si="374"/>
        <v>012</v>
      </c>
      <c r="AO446" t="str">
        <f t="shared" si="375"/>
        <v>TP-131 ﾊﾝﾖｳ</v>
      </c>
      <c r="AP446">
        <v>100</v>
      </c>
      <c r="AQ446" t="str">
        <f>""</f>
        <v/>
      </c>
      <c r="AR446" t="str">
        <f>""</f>
        <v/>
      </c>
      <c r="AS446" t="str">
        <f>""</f>
        <v/>
      </c>
      <c r="AT446" t="str">
        <f t="shared" si="376"/>
        <v>00</v>
      </c>
      <c r="AU446">
        <v>0.5</v>
      </c>
      <c r="AV446" t="str">
        <f>""</f>
        <v/>
      </c>
      <c r="AW446" t="str">
        <f t="shared" si="397"/>
        <v>06</v>
      </c>
      <c r="AX446" t="str">
        <f t="shared" si="398"/>
        <v>計画</v>
      </c>
      <c r="AY446" t="str">
        <f t="shared" si="399"/>
        <v>02</v>
      </c>
      <c r="AZ446" t="str">
        <f t="shared" si="400"/>
        <v>計画・２社</v>
      </c>
      <c r="BA446" t="str">
        <f>""</f>
        <v/>
      </c>
      <c r="BB446" t="str">
        <f t="shared" si="377"/>
        <v>ＴＰ１３１フタナシ</v>
      </c>
      <c r="BC446" t="str">
        <f t="shared" si="378"/>
        <v xml:space="preserve"> 335.000</v>
      </c>
      <c r="BD446" t="str">
        <f t="shared" si="379"/>
        <v xml:space="preserve"> 168.000</v>
      </c>
      <c r="BE446" t="str">
        <f t="shared" si="380"/>
        <v xml:space="preserve"> 103.000</v>
      </c>
      <c r="BF446" t="str">
        <f t="shared" si="381"/>
        <v xml:space="preserve">   0.006</v>
      </c>
      <c r="BG446" t="str">
        <f t="shared" si="409"/>
        <v xml:space="preserve">   6.500</v>
      </c>
      <c r="BH446" t="str">
        <f t="shared" si="406"/>
        <v>しない</v>
      </c>
      <c r="BI446" t="str">
        <f>""</f>
        <v/>
      </c>
      <c r="BJ446" t="str">
        <f t="shared" si="403"/>
        <v>MASTER01</v>
      </c>
      <c r="BK446" t="str">
        <f t="shared" si="405"/>
        <v>2022/04/19</v>
      </c>
      <c r="BL446" t="str">
        <f t="shared" si="392"/>
        <v>NE00</v>
      </c>
      <c r="BM446" t="str">
        <f t="shared" si="393"/>
        <v>１工工務Ｇ</v>
      </c>
      <c r="BN446" t="str">
        <f t="shared" si="401"/>
        <v>46548</v>
      </c>
      <c r="BO446" t="str">
        <f t="shared" si="402"/>
        <v>長畑　玲奈</v>
      </c>
    </row>
    <row r="447" spans="1:67">
      <c r="A447" t="s">
        <v>529</v>
      </c>
      <c r="B447" t="str">
        <f>""</f>
        <v/>
      </c>
      <c r="C447" t="str">
        <f>""</f>
        <v/>
      </c>
      <c r="D447" t="str">
        <f t="shared" si="394"/>
        <v>SHIM</v>
      </c>
      <c r="E447" t="str">
        <f t="shared" si="382"/>
        <v>1Y</v>
      </c>
      <c r="F447" t="str">
        <f t="shared" si="383"/>
        <v>第１工場</v>
      </c>
      <c r="G447" t="str">
        <f t="shared" si="384"/>
        <v>手配</v>
      </c>
      <c r="H447" t="str">
        <f t="shared" si="385"/>
        <v>Ｐ</v>
      </c>
      <c r="I447" t="str">
        <f t="shared" si="370"/>
        <v>6454</v>
      </c>
      <c r="J447" t="str">
        <f t="shared" si="371"/>
        <v>（株）ムロコーポレーション</v>
      </c>
      <c r="K447" t="str">
        <f t="shared" si="410"/>
        <v>01</v>
      </c>
      <c r="L447" t="str">
        <f>""</f>
        <v/>
      </c>
      <c r="M447" t="str">
        <f t="shared" si="407"/>
        <v>――</v>
      </c>
      <c r="N447" t="str">
        <f t="shared" si="407"/>
        <v>――</v>
      </c>
      <c r="O447" t="str">
        <f t="shared" si="386"/>
        <v>Ｍ</v>
      </c>
      <c r="P447" t="str">
        <f t="shared" si="387"/>
        <v>01</v>
      </c>
      <c r="Q447" t="str">
        <f t="shared" si="388"/>
        <v>第１</v>
      </c>
      <c r="R447" t="str">
        <f t="shared" si="389"/>
        <v>1Y</v>
      </c>
      <c r="S447" t="str">
        <f t="shared" si="390"/>
        <v>安城第１工場</v>
      </c>
      <c r="T447" t="str">
        <f t="shared" si="391"/>
        <v>直接</v>
      </c>
      <c r="U447" t="str">
        <f>""</f>
        <v/>
      </c>
      <c r="V447" t="str">
        <f>""</f>
        <v/>
      </c>
      <c r="W447" t="str">
        <f>""</f>
        <v/>
      </c>
      <c r="X447">
        <v>1</v>
      </c>
      <c r="Y447">
        <v>1</v>
      </c>
      <c r="Z447">
        <v>0.73</v>
      </c>
      <c r="AA447">
        <v>0.93</v>
      </c>
      <c r="AB447">
        <v>3</v>
      </c>
      <c r="AC447">
        <v>0.93</v>
      </c>
      <c r="AD447">
        <v>0.93</v>
      </c>
      <c r="AE447">
        <v>1.1000000000000001</v>
      </c>
      <c r="AF447">
        <v>0.5</v>
      </c>
      <c r="AG447" t="str">
        <f t="shared" si="372"/>
        <v>205</v>
      </c>
      <c r="AH447" t="str">
        <f t="shared" si="373"/>
        <v>（株）ムロコーポレーション</v>
      </c>
      <c r="AI447" t="str">
        <f>"258"</f>
        <v>258</v>
      </c>
      <c r="AJ447" t="str">
        <f>"S-SM-4-48"</f>
        <v>S-SM-4-48</v>
      </c>
      <c r="AK447" t="str">
        <f>"10303"</f>
        <v>10303</v>
      </c>
      <c r="AL447" t="str">
        <f t="shared" si="395"/>
        <v>0370</v>
      </c>
      <c r="AM447" t="str">
        <f t="shared" si="396"/>
        <v>ｼﾑ</v>
      </c>
      <c r="AN447" t="str">
        <f t="shared" si="374"/>
        <v>012</v>
      </c>
      <c r="AO447" t="str">
        <f t="shared" si="375"/>
        <v>TP-131 ﾊﾝﾖｳ</v>
      </c>
      <c r="AP447">
        <v>100</v>
      </c>
      <c r="AQ447" t="str">
        <f>""</f>
        <v/>
      </c>
      <c r="AR447" t="str">
        <f>""</f>
        <v/>
      </c>
      <c r="AS447" t="str">
        <f>""</f>
        <v/>
      </c>
      <c r="AT447" t="str">
        <f t="shared" si="376"/>
        <v>00</v>
      </c>
      <c r="AU447">
        <v>0.5</v>
      </c>
      <c r="AV447" t="str">
        <f>""</f>
        <v/>
      </c>
      <c r="AW447" t="str">
        <f t="shared" si="397"/>
        <v>06</v>
      </c>
      <c r="AX447" t="str">
        <f t="shared" si="398"/>
        <v>計画</v>
      </c>
      <c r="AY447" t="str">
        <f t="shared" si="399"/>
        <v>02</v>
      </c>
      <c r="AZ447" t="str">
        <f t="shared" si="400"/>
        <v>計画・２社</v>
      </c>
      <c r="BA447" t="str">
        <f>""</f>
        <v/>
      </c>
      <c r="BB447" t="str">
        <f t="shared" si="377"/>
        <v>ＴＰ１３１フタナシ</v>
      </c>
      <c r="BC447" t="str">
        <f t="shared" si="378"/>
        <v xml:space="preserve"> 335.000</v>
      </c>
      <c r="BD447" t="str">
        <f t="shared" si="379"/>
        <v xml:space="preserve"> 168.000</v>
      </c>
      <c r="BE447" t="str">
        <f t="shared" si="380"/>
        <v xml:space="preserve"> 103.000</v>
      </c>
      <c r="BF447" t="str">
        <f t="shared" si="381"/>
        <v xml:space="preserve">   0.006</v>
      </c>
      <c r="BG447" t="str">
        <f t="shared" si="409"/>
        <v xml:space="preserve">   6.500</v>
      </c>
      <c r="BH447" t="str">
        <f t="shared" si="406"/>
        <v>しない</v>
      </c>
      <c r="BI447" t="str">
        <f>""</f>
        <v/>
      </c>
      <c r="BJ447" t="str">
        <f t="shared" si="403"/>
        <v>MASTER01</v>
      </c>
      <c r="BK447" t="str">
        <f t="shared" si="405"/>
        <v>2022/04/19</v>
      </c>
      <c r="BL447" t="str">
        <f t="shared" si="392"/>
        <v>NE00</v>
      </c>
      <c r="BM447" t="str">
        <f t="shared" si="393"/>
        <v>１工工務Ｇ</v>
      </c>
      <c r="BN447" t="str">
        <f t="shared" si="401"/>
        <v>46548</v>
      </c>
      <c r="BO447" t="str">
        <f t="shared" si="402"/>
        <v>長畑　玲奈</v>
      </c>
    </row>
    <row r="448" spans="1:67">
      <c r="A448" t="s">
        <v>530</v>
      </c>
      <c r="B448" t="str">
        <f>""</f>
        <v/>
      </c>
      <c r="C448" t="str">
        <f>""</f>
        <v/>
      </c>
      <c r="D448" t="str">
        <f t="shared" si="394"/>
        <v>SHIM</v>
      </c>
      <c r="E448" t="str">
        <f t="shared" si="382"/>
        <v>1Y</v>
      </c>
      <c r="F448" t="str">
        <f t="shared" si="383"/>
        <v>第１工場</v>
      </c>
      <c r="G448" t="str">
        <f t="shared" si="384"/>
        <v>手配</v>
      </c>
      <c r="H448" t="str">
        <f t="shared" si="385"/>
        <v>Ｐ</v>
      </c>
      <c r="I448" t="str">
        <f t="shared" si="370"/>
        <v>6454</v>
      </c>
      <c r="J448" t="str">
        <f t="shared" si="371"/>
        <v>（株）ムロコーポレーション</v>
      </c>
      <c r="K448" t="str">
        <f t="shared" si="410"/>
        <v>01</v>
      </c>
      <c r="L448" t="str">
        <f>""</f>
        <v/>
      </c>
      <c r="M448" t="str">
        <f t="shared" si="407"/>
        <v>――</v>
      </c>
      <c r="N448" t="str">
        <f t="shared" si="407"/>
        <v>――</v>
      </c>
      <c r="O448" t="str">
        <f t="shared" si="386"/>
        <v>Ｍ</v>
      </c>
      <c r="P448" t="str">
        <f t="shared" si="387"/>
        <v>01</v>
      </c>
      <c r="Q448" t="str">
        <f t="shared" si="388"/>
        <v>第１</v>
      </c>
      <c r="R448" t="str">
        <f t="shared" si="389"/>
        <v>1Y</v>
      </c>
      <c r="S448" t="str">
        <f t="shared" si="390"/>
        <v>安城第１工場</v>
      </c>
      <c r="T448" t="str">
        <f t="shared" si="391"/>
        <v>直接</v>
      </c>
      <c r="U448" t="str">
        <f>""</f>
        <v/>
      </c>
      <c r="V448" t="str">
        <f>""</f>
        <v/>
      </c>
      <c r="W448" t="str">
        <f>""</f>
        <v/>
      </c>
      <c r="X448">
        <v>1</v>
      </c>
      <c r="Y448">
        <v>1</v>
      </c>
      <c r="Z448">
        <v>0.73</v>
      </c>
      <c r="AA448">
        <v>0.93</v>
      </c>
      <c r="AB448">
        <v>3</v>
      </c>
      <c r="AC448">
        <v>0.93</v>
      </c>
      <c r="AD448">
        <v>0.93</v>
      </c>
      <c r="AE448">
        <v>1.1000000000000001</v>
      </c>
      <c r="AF448">
        <v>0.5</v>
      </c>
      <c r="AG448" t="str">
        <f t="shared" si="372"/>
        <v>205</v>
      </c>
      <c r="AH448" t="str">
        <f t="shared" si="373"/>
        <v>（株）ムロコーポレーション</v>
      </c>
      <c r="AI448" t="str">
        <f>"259"</f>
        <v>259</v>
      </c>
      <c r="AJ448" t="str">
        <f>"S-SM-4-49"</f>
        <v>S-SM-4-49</v>
      </c>
      <c r="AK448" t="str">
        <f>"10304"</f>
        <v>10304</v>
      </c>
      <c r="AL448" t="str">
        <f t="shared" si="395"/>
        <v>0370</v>
      </c>
      <c r="AM448" t="str">
        <f t="shared" si="396"/>
        <v>ｼﾑ</v>
      </c>
      <c r="AN448" t="str">
        <f t="shared" si="374"/>
        <v>012</v>
      </c>
      <c r="AO448" t="str">
        <f t="shared" si="375"/>
        <v>TP-131 ﾊﾝﾖｳ</v>
      </c>
      <c r="AP448">
        <v>100</v>
      </c>
      <c r="AQ448" t="str">
        <f>""</f>
        <v/>
      </c>
      <c r="AR448" t="str">
        <f>""</f>
        <v/>
      </c>
      <c r="AS448" t="str">
        <f>""</f>
        <v/>
      </c>
      <c r="AT448" t="str">
        <f t="shared" si="376"/>
        <v>00</v>
      </c>
      <c r="AU448">
        <v>0.5</v>
      </c>
      <c r="AV448" t="str">
        <f>""</f>
        <v/>
      </c>
      <c r="AW448" t="str">
        <f t="shared" si="397"/>
        <v>06</v>
      </c>
      <c r="AX448" t="str">
        <f t="shared" si="398"/>
        <v>計画</v>
      </c>
      <c r="AY448" t="str">
        <f t="shared" si="399"/>
        <v>02</v>
      </c>
      <c r="AZ448" t="str">
        <f t="shared" si="400"/>
        <v>計画・２社</v>
      </c>
      <c r="BA448" t="str">
        <f>""</f>
        <v/>
      </c>
      <c r="BB448" t="str">
        <f t="shared" si="377"/>
        <v>ＴＰ１３１フタナシ</v>
      </c>
      <c r="BC448" t="str">
        <f t="shared" si="378"/>
        <v xml:space="preserve"> 335.000</v>
      </c>
      <c r="BD448" t="str">
        <f t="shared" si="379"/>
        <v xml:space="preserve"> 168.000</v>
      </c>
      <c r="BE448" t="str">
        <f t="shared" si="380"/>
        <v xml:space="preserve"> 103.000</v>
      </c>
      <c r="BF448" t="str">
        <f t="shared" si="381"/>
        <v xml:space="preserve">   0.006</v>
      </c>
      <c r="BG448" t="str">
        <f t="shared" si="409"/>
        <v xml:space="preserve">   6.500</v>
      </c>
      <c r="BH448" t="str">
        <f t="shared" si="406"/>
        <v>しない</v>
      </c>
      <c r="BI448" t="str">
        <f>""</f>
        <v/>
      </c>
      <c r="BJ448" t="str">
        <f t="shared" si="403"/>
        <v>MASTER01</v>
      </c>
      <c r="BK448" t="str">
        <f t="shared" si="405"/>
        <v>2022/04/19</v>
      </c>
      <c r="BL448" t="str">
        <f t="shared" si="392"/>
        <v>NE00</v>
      </c>
      <c r="BM448" t="str">
        <f t="shared" si="393"/>
        <v>１工工務Ｇ</v>
      </c>
      <c r="BN448" t="str">
        <f t="shared" si="401"/>
        <v>46548</v>
      </c>
      <c r="BO448" t="str">
        <f t="shared" si="402"/>
        <v>長畑　玲奈</v>
      </c>
    </row>
    <row r="449" spans="1:67">
      <c r="A449" t="s">
        <v>531</v>
      </c>
      <c r="B449" t="str">
        <f>""</f>
        <v/>
      </c>
      <c r="C449" t="str">
        <f>""</f>
        <v/>
      </c>
      <c r="D449" t="str">
        <f t="shared" si="394"/>
        <v>SHIM</v>
      </c>
      <c r="E449" t="str">
        <f t="shared" si="382"/>
        <v>1Y</v>
      </c>
      <c r="F449" t="str">
        <f t="shared" si="383"/>
        <v>第１工場</v>
      </c>
      <c r="G449" t="str">
        <f t="shared" si="384"/>
        <v>手配</v>
      </c>
      <c r="H449" t="str">
        <f t="shared" si="385"/>
        <v>Ｐ</v>
      </c>
      <c r="I449" t="str">
        <f t="shared" ref="I449:I497" si="411">"6454"</f>
        <v>6454</v>
      </c>
      <c r="J449" t="str">
        <f t="shared" ref="J449:J497" si="412">"（株）ムロコーポレーション"</f>
        <v>（株）ムロコーポレーション</v>
      </c>
      <c r="K449" t="str">
        <f t="shared" si="410"/>
        <v>01</v>
      </c>
      <c r="L449" t="str">
        <f>""</f>
        <v/>
      </c>
      <c r="M449" t="str">
        <f t="shared" si="407"/>
        <v>――</v>
      </c>
      <c r="N449" t="str">
        <f t="shared" si="407"/>
        <v>――</v>
      </c>
      <c r="O449" t="str">
        <f t="shared" si="386"/>
        <v>Ｍ</v>
      </c>
      <c r="P449" t="str">
        <f t="shared" si="387"/>
        <v>01</v>
      </c>
      <c r="Q449" t="str">
        <f t="shared" si="388"/>
        <v>第１</v>
      </c>
      <c r="R449" t="str">
        <f t="shared" si="389"/>
        <v>1Y</v>
      </c>
      <c r="S449" t="str">
        <f t="shared" si="390"/>
        <v>安城第１工場</v>
      </c>
      <c r="T449" t="str">
        <f t="shared" si="391"/>
        <v>直接</v>
      </c>
      <c r="U449" t="str">
        <f>""</f>
        <v/>
      </c>
      <c r="V449" t="str">
        <f>""</f>
        <v/>
      </c>
      <c r="W449" t="str">
        <f>""</f>
        <v/>
      </c>
      <c r="X449">
        <v>1</v>
      </c>
      <c r="Y449">
        <v>1</v>
      </c>
      <c r="Z449">
        <v>0.73</v>
      </c>
      <c r="AA449">
        <v>0.93</v>
      </c>
      <c r="AB449">
        <v>3</v>
      </c>
      <c r="AC449">
        <v>0.93</v>
      </c>
      <c r="AD449">
        <v>0.93</v>
      </c>
      <c r="AE449">
        <v>1.1000000000000001</v>
      </c>
      <c r="AF449">
        <v>0.5</v>
      </c>
      <c r="AG449" t="str">
        <f t="shared" ref="AG449:AG497" si="413">"205"</f>
        <v>205</v>
      </c>
      <c r="AH449" t="str">
        <f t="shared" ref="AH449:AH497" si="414">"（株）ムロコーポレーション"</f>
        <v>（株）ムロコーポレーション</v>
      </c>
      <c r="AI449" t="str">
        <f>"260"</f>
        <v>260</v>
      </c>
      <c r="AJ449" t="str">
        <f>"S-SM-4-50"</f>
        <v>S-SM-4-50</v>
      </c>
      <c r="AK449" t="str">
        <f>"10305"</f>
        <v>10305</v>
      </c>
      <c r="AL449" t="str">
        <f t="shared" si="395"/>
        <v>0370</v>
      </c>
      <c r="AM449" t="str">
        <f t="shared" si="396"/>
        <v>ｼﾑ</v>
      </c>
      <c r="AN449" t="str">
        <f t="shared" ref="AN449:AN497" si="415">"012"</f>
        <v>012</v>
      </c>
      <c r="AO449" t="str">
        <f t="shared" ref="AO449:AO497" si="416">"TP-131 ﾊﾝﾖｳ"</f>
        <v>TP-131 ﾊﾝﾖｳ</v>
      </c>
      <c r="AP449">
        <v>100</v>
      </c>
      <c r="AQ449" t="str">
        <f>""</f>
        <v/>
      </c>
      <c r="AR449" t="str">
        <f>""</f>
        <v/>
      </c>
      <c r="AS449" t="str">
        <f>""</f>
        <v/>
      </c>
      <c r="AT449" t="str">
        <f t="shared" ref="AT449:AT512" si="417">"00"</f>
        <v>00</v>
      </c>
      <c r="AU449">
        <v>0.5</v>
      </c>
      <c r="AV449" t="str">
        <f>""</f>
        <v/>
      </c>
      <c r="AW449" t="str">
        <f t="shared" si="397"/>
        <v>06</v>
      </c>
      <c r="AX449" t="str">
        <f t="shared" si="398"/>
        <v>計画</v>
      </c>
      <c r="AY449" t="str">
        <f t="shared" si="399"/>
        <v>02</v>
      </c>
      <c r="AZ449" t="str">
        <f t="shared" si="400"/>
        <v>計画・２社</v>
      </c>
      <c r="BA449" t="str">
        <f>""</f>
        <v/>
      </c>
      <c r="BB449" t="str">
        <f t="shared" ref="BB449:BB497" si="418">"ＴＰ１３１フタナシ"</f>
        <v>ＴＰ１３１フタナシ</v>
      </c>
      <c r="BC449" t="str">
        <f t="shared" ref="BC449:BD506" si="419">" 335.000"</f>
        <v xml:space="preserve"> 335.000</v>
      </c>
      <c r="BD449" t="str">
        <f t="shared" ref="BD449:BD497" si="420">" 168.000"</f>
        <v xml:space="preserve"> 168.000</v>
      </c>
      <c r="BE449" t="str">
        <f t="shared" ref="BE449:BE498" si="421">" 103.000"</f>
        <v xml:space="preserve"> 103.000</v>
      </c>
      <c r="BF449" t="str">
        <f t="shared" ref="BF449:BF497" si="422">"   0.006"</f>
        <v xml:space="preserve">   0.006</v>
      </c>
      <c r="BG449" t="str">
        <f t="shared" si="409"/>
        <v xml:space="preserve">   6.500</v>
      </c>
      <c r="BH449" t="str">
        <f t="shared" si="406"/>
        <v>しない</v>
      </c>
      <c r="BI449" t="str">
        <f>""</f>
        <v/>
      </c>
      <c r="BJ449" t="str">
        <f t="shared" si="403"/>
        <v>MASTER01</v>
      </c>
      <c r="BK449" t="str">
        <f t="shared" si="405"/>
        <v>2022/04/19</v>
      </c>
      <c r="BL449" t="str">
        <f t="shared" si="392"/>
        <v>NE00</v>
      </c>
      <c r="BM449" t="str">
        <f t="shared" si="393"/>
        <v>１工工務Ｇ</v>
      </c>
      <c r="BN449" t="str">
        <f t="shared" si="401"/>
        <v>46548</v>
      </c>
      <c r="BO449" t="str">
        <f t="shared" si="402"/>
        <v>長畑　玲奈</v>
      </c>
    </row>
    <row r="450" spans="1:67">
      <c r="A450" t="s">
        <v>532</v>
      </c>
      <c r="B450" t="str">
        <f>""</f>
        <v/>
      </c>
      <c r="C450" t="str">
        <f>""</f>
        <v/>
      </c>
      <c r="D450" t="str">
        <f t="shared" si="394"/>
        <v>SHIM</v>
      </c>
      <c r="E450" t="str">
        <f t="shared" ref="E450:E513" si="423">"1Y"</f>
        <v>1Y</v>
      </c>
      <c r="F450" t="str">
        <f t="shared" ref="F450:F513" si="424">"第１工場"</f>
        <v>第１工場</v>
      </c>
      <c r="G450" t="str">
        <f t="shared" ref="G450:G513" si="425">"手配"</f>
        <v>手配</v>
      </c>
      <c r="H450" t="str">
        <f t="shared" ref="H450:H513" si="426">"Ｐ"</f>
        <v>Ｐ</v>
      </c>
      <c r="I450" t="str">
        <f t="shared" si="411"/>
        <v>6454</v>
      </c>
      <c r="J450" t="str">
        <f t="shared" si="412"/>
        <v>（株）ムロコーポレーション</v>
      </c>
      <c r="K450" t="str">
        <f t="shared" si="410"/>
        <v>01</v>
      </c>
      <c r="L450" t="str">
        <f>""</f>
        <v/>
      </c>
      <c r="M450" t="str">
        <f t="shared" si="407"/>
        <v>――</v>
      </c>
      <c r="N450" t="str">
        <f t="shared" si="407"/>
        <v>――</v>
      </c>
      <c r="O450" t="str">
        <f t="shared" ref="O450:O513" si="427">"Ｍ"</f>
        <v>Ｍ</v>
      </c>
      <c r="P450" t="str">
        <f t="shared" ref="P450:P513" si="428">"01"</f>
        <v>01</v>
      </c>
      <c r="Q450" t="str">
        <f t="shared" ref="Q450:Q513" si="429">"第１"</f>
        <v>第１</v>
      </c>
      <c r="R450" t="str">
        <f t="shared" ref="R450:R513" si="430">"1Y"</f>
        <v>1Y</v>
      </c>
      <c r="S450" t="str">
        <f t="shared" ref="S450:S513" si="431">"安城第１工場"</f>
        <v>安城第１工場</v>
      </c>
      <c r="T450" t="str">
        <f t="shared" ref="T450:T513" si="432">"直接"</f>
        <v>直接</v>
      </c>
      <c r="U450" t="str">
        <f>""</f>
        <v/>
      </c>
      <c r="V450" t="str">
        <f>""</f>
        <v/>
      </c>
      <c r="W450" t="str">
        <f>""</f>
        <v/>
      </c>
      <c r="X450">
        <v>1</v>
      </c>
      <c r="Y450">
        <v>1</v>
      </c>
      <c r="Z450">
        <v>0.73</v>
      </c>
      <c r="AA450">
        <v>0.93</v>
      </c>
      <c r="AB450">
        <v>3</v>
      </c>
      <c r="AC450">
        <v>0.93</v>
      </c>
      <c r="AD450">
        <v>0.93</v>
      </c>
      <c r="AE450">
        <v>1.1000000000000001</v>
      </c>
      <c r="AF450">
        <v>0.5</v>
      </c>
      <c r="AG450" t="str">
        <f t="shared" si="413"/>
        <v>205</v>
      </c>
      <c r="AH450" t="str">
        <f t="shared" si="414"/>
        <v>（株）ムロコーポレーション</v>
      </c>
      <c r="AI450" t="str">
        <f>"261"</f>
        <v>261</v>
      </c>
      <c r="AJ450" t="str">
        <f>"S-SM-1-50"</f>
        <v>S-SM-1-50</v>
      </c>
      <c r="AK450" t="str">
        <f>"10306"</f>
        <v>10306</v>
      </c>
      <c r="AL450" t="str">
        <f t="shared" si="395"/>
        <v>0370</v>
      </c>
      <c r="AM450" t="str">
        <f t="shared" si="396"/>
        <v>ｼﾑ</v>
      </c>
      <c r="AN450" t="str">
        <f t="shared" si="415"/>
        <v>012</v>
      </c>
      <c r="AO450" t="str">
        <f t="shared" si="416"/>
        <v>TP-131 ﾊﾝﾖｳ</v>
      </c>
      <c r="AP450">
        <v>100</v>
      </c>
      <c r="AQ450" t="str">
        <f>""</f>
        <v/>
      </c>
      <c r="AR450" t="str">
        <f>""</f>
        <v/>
      </c>
      <c r="AS450" t="str">
        <f>""</f>
        <v/>
      </c>
      <c r="AT450" t="str">
        <f t="shared" si="417"/>
        <v>00</v>
      </c>
      <c r="AU450">
        <v>0.5</v>
      </c>
      <c r="AV450" t="str">
        <f>""</f>
        <v/>
      </c>
      <c r="AW450" t="str">
        <f t="shared" si="397"/>
        <v>06</v>
      </c>
      <c r="AX450" t="str">
        <f t="shared" si="398"/>
        <v>計画</v>
      </c>
      <c r="AY450" t="str">
        <f t="shared" si="399"/>
        <v>02</v>
      </c>
      <c r="AZ450" t="str">
        <f t="shared" si="400"/>
        <v>計画・２社</v>
      </c>
      <c r="BA450" t="str">
        <f>""</f>
        <v/>
      </c>
      <c r="BB450" t="str">
        <f t="shared" si="418"/>
        <v>ＴＰ１３１フタナシ</v>
      </c>
      <c r="BC450" t="str">
        <f t="shared" si="419"/>
        <v xml:space="preserve"> 335.000</v>
      </c>
      <c r="BD450" t="str">
        <f t="shared" si="420"/>
        <v xml:space="preserve"> 168.000</v>
      </c>
      <c r="BE450" t="str">
        <f t="shared" si="421"/>
        <v xml:space="preserve"> 103.000</v>
      </c>
      <c r="BF450" t="str">
        <f t="shared" si="422"/>
        <v xml:space="preserve">   0.006</v>
      </c>
      <c r="BG450" t="str">
        <f t="shared" si="409"/>
        <v xml:space="preserve">   6.500</v>
      </c>
      <c r="BH450" t="str">
        <f t="shared" si="406"/>
        <v>しない</v>
      </c>
      <c r="BI450" t="str">
        <f>""</f>
        <v/>
      </c>
      <c r="BJ450" t="str">
        <f t="shared" si="403"/>
        <v>MASTER01</v>
      </c>
      <c r="BK450" t="str">
        <f t="shared" si="405"/>
        <v>2022/04/19</v>
      </c>
      <c r="BL450" t="str">
        <f t="shared" ref="BL450:BL513" si="433">"NE00"</f>
        <v>NE00</v>
      </c>
      <c r="BM450" t="str">
        <f t="shared" ref="BM450:BM513" si="434">"１工工務Ｇ"</f>
        <v>１工工務Ｇ</v>
      </c>
      <c r="BN450" t="str">
        <f t="shared" si="401"/>
        <v>46548</v>
      </c>
      <c r="BO450" t="str">
        <f t="shared" si="402"/>
        <v>長畑　玲奈</v>
      </c>
    </row>
    <row r="451" spans="1:67">
      <c r="A451" t="s">
        <v>533</v>
      </c>
      <c r="B451" t="str">
        <f>""</f>
        <v/>
      </c>
      <c r="C451" t="str">
        <f>""</f>
        <v/>
      </c>
      <c r="D451" t="str">
        <f t="shared" si="394"/>
        <v>SHIM</v>
      </c>
      <c r="E451" t="str">
        <f t="shared" si="423"/>
        <v>1Y</v>
      </c>
      <c r="F451" t="str">
        <f t="shared" si="424"/>
        <v>第１工場</v>
      </c>
      <c r="G451" t="str">
        <f t="shared" si="425"/>
        <v>手配</v>
      </c>
      <c r="H451" t="str">
        <f t="shared" si="426"/>
        <v>Ｐ</v>
      </c>
      <c r="I451" t="str">
        <f t="shared" si="411"/>
        <v>6454</v>
      </c>
      <c r="J451" t="str">
        <f t="shared" si="412"/>
        <v>（株）ムロコーポレーション</v>
      </c>
      <c r="K451" t="str">
        <f t="shared" si="410"/>
        <v>01</v>
      </c>
      <c r="L451" t="str">
        <f>""</f>
        <v/>
      </c>
      <c r="M451" t="str">
        <f t="shared" si="407"/>
        <v>――</v>
      </c>
      <c r="N451" t="str">
        <f t="shared" si="407"/>
        <v>――</v>
      </c>
      <c r="O451" t="str">
        <f t="shared" si="427"/>
        <v>Ｍ</v>
      </c>
      <c r="P451" t="str">
        <f t="shared" si="428"/>
        <v>01</v>
      </c>
      <c r="Q451" t="str">
        <f t="shared" si="429"/>
        <v>第１</v>
      </c>
      <c r="R451" t="str">
        <f t="shared" si="430"/>
        <v>1Y</v>
      </c>
      <c r="S451" t="str">
        <f t="shared" si="431"/>
        <v>安城第１工場</v>
      </c>
      <c r="T451" t="str">
        <f t="shared" si="432"/>
        <v>直接</v>
      </c>
      <c r="U451" t="str">
        <f>""</f>
        <v/>
      </c>
      <c r="V451" t="str">
        <f>""</f>
        <v/>
      </c>
      <c r="W451" t="str">
        <f>""</f>
        <v/>
      </c>
      <c r="X451">
        <v>1</v>
      </c>
      <c r="Y451">
        <v>1</v>
      </c>
      <c r="Z451">
        <v>0.73</v>
      </c>
      <c r="AA451">
        <v>0.93</v>
      </c>
      <c r="AB451">
        <v>3</v>
      </c>
      <c r="AC451">
        <v>0.93</v>
      </c>
      <c r="AD451">
        <v>0.93</v>
      </c>
      <c r="AE451">
        <v>1.1000000000000001</v>
      </c>
      <c r="AF451">
        <v>0.5</v>
      </c>
      <c r="AG451" t="str">
        <f t="shared" si="413"/>
        <v>205</v>
      </c>
      <c r="AH451" t="str">
        <f t="shared" si="414"/>
        <v>（株）ムロコーポレーション</v>
      </c>
      <c r="AI451" t="str">
        <f>"262"</f>
        <v>262</v>
      </c>
      <c r="AJ451" t="str">
        <f>"S-SM-1-51"</f>
        <v>S-SM-1-51</v>
      </c>
      <c r="AK451" t="str">
        <f>"10307"</f>
        <v>10307</v>
      </c>
      <c r="AL451" t="str">
        <f t="shared" si="395"/>
        <v>0370</v>
      </c>
      <c r="AM451" t="str">
        <f t="shared" si="396"/>
        <v>ｼﾑ</v>
      </c>
      <c r="AN451" t="str">
        <f t="shared" si="415"/>
        <v>012</v>
      </c>
      <c r="AO451" t="str">
        <f t="shared" si="416"/>
        <v>TP-131 ﾊﾝﾖｳ</v>
      </c>
      <c r="AP451">
        <v>100</v>
      </c>
      <c r="AQ451" t="str">
        <f>""</f>
        <v/>
      </c>
      <c r="AR451" t="str">
        <f>""</f>
        <v/>
      </c>
      <c r="AS451" t="str">
        <f>""</f>
        <v/>
      </c>
      <c r="AT451" t="str">
        <f t="shared" si="417"/>
        <v>00</v>
      </c>
      <c r="AU451">
        <v>0.5</v>
      </c>
      <c r="AV451" t="str">
        <f>""</f>
        <v/>
      </c>
      <c r="AW451" t="str">
        <f t="shared" si="397"/>
        <v>06</v>
      </c>
      <c r="AX451" t="str">
        <f t="shared" si="398"/>
        <v>計画</v>
      </c>
      <c r="AY451" t="str">
        <f t="shared" si="399"/>
        <v>02</v>
      </c>
      <c r="AZ451" t="str">
        <f t="shared" si="400"/>
        <v>計画・２社</v>
      </c>
      <c r="BA451" t="str">
        <f>""</f>
        <v/>
      </c>
      <c r="BB451" t="str">
        <f t="shared" si="418"/>
        <v>ＴＰ１３１フタナシ</v>
      </c>
      <c r="BC451" t="str">
        <f t="shared" si="419"/>
        <v xml:space="preserve"> 335.000</v>
      </c>
      <c r="BD451" t="str">
        <f t="shared" si="420"/>
        <v xml:space="preserve"> 168.000</v>
      </c>
      <c r="BE451" t="str">
        <f t="shared" si="421"/>
        <v xml:space="preserve"> 103.000</v>
      </c>
      <c r="BF451" t="str">
        <f t="shared" si="422"/>
        <v xml:space="preserve">   0.006</v>
      </c>
      <c r="BG451" t="str">
        <f t="shared" si="409"/>
        <v xml:space="preserve">   6.500</v>
      </c>
      <c r="BH451" t="str">
        <f t="shared" si="406"/>
        <v>しない</v>
      </c>
      <c r="BI451" t="str">
        <f>""</f>
        <v/>
      </c>
      <c r="BJ451" t="str">
        <f t="shared" si="403"/>
        <v>MASTER01</v>
      </c>
      <c r="BK451" t="str">
        <f t="shared" si="405"/>
        <v>2022/04/19</v>
      </c>
      <c r="BL451" t="str">
        <f t="shared" si="433"/>
        <v>NE00</v>
      </c>
      <c r="BM451" t="str">
        <f t="shared" si="434"/>
        <v>１工工務Ｇ</v>
      </c>
      <c r="BN451" t="str">
        <f t="shared" si="401"/>
        <v>46548</v>
      </c>
      <c r="BO451" t="str">
        <f t="shared" si="402"/>
        <v>長畑　玲奈</v>
      </c>
    </row>
    <row r="452" spans="1:67">
      <c r="A452" t="s">
        <v>534</v>
      </c>
      <c r="B452" t="str">
        <f>""</f>
        <v/>
      </c>
      <c r="C452" t="str">
        <f>""</f>
        <v/>
      </c>
      <c r="D452" t="str">
        <f t="shared" ref="D452:D497" si="435">"SHIM"</f>
        <v>SHIM</v>
      </c>
      <c r="E452" t="str">
        <f t="shared" si="423"/>
        <v>1Y</v>
      </c>
      <c r="F452" t="str">
        <f t="shared" si="424"/>
        <v>第１工場</v>
      </c>
      <c r="G452" t="str">
        <f t="shared" si="425"/>
        <v>手配</v>
      </c>
      <c r="H452" t="str">
        <f t="shared" si="426"/>
        <v>Ｐ</v>
      </c>
      <c r="I452" t="str">
        <f t="shared" si="411"/>
        <v>6454</v>
      </c>
      <c r="J452" t="str">
        <f t="shared" si="412"/>
        <v>（株）ムロコーポレーション</v>
      </c>
      <c r="K452" t="str">
        <f t="shared" si="410"/>
        <v>01</v>
      </c>
      <c r="L452" t="str">
        <f>""</f>
        <v/>
      </c>
      <c r="M452" t="str">
        <f t="shared" si="407"/>
        <v>――</v>
      </c>
      <c r="N452" t="str">
        <f t="shared" si="407"/>
        <v>――</v>
      </c>
      <c r="O452" t="str">
        <f t="shared" si="427"/>
        <v>Ｍ</v>
      </c>
      <c r="P452" t="str">
        <f t="shared" si="428"/>
        <v>01</v>
      </c>
      <c r="Q452" t="str">
        <f t="shared" si="429"/>
        <v>第１</v>
      </c>
      <c r="R452" t="str">
        <f t="shared" si="430"/>
        <v>1Y</v>
      </c>
      <c r="S452" t="str">
        <f t="shared" si="431"/>
        <v>安城第１工場</v>
      </c>
      <c r="T452" t="str">
        <f t="shared" si="432"/>
        <v>直接</v>
      </c>
      <c r="U452" t="str">
        <f>""</f>
        <v/>
      </c>
      <c r="V452" t="str">
        <f>""</f>
        <v/>
      </c>
      <c r="W452" t="str">
        <f>""</f>
        <v/>
      </c>
      <c r="X452">
        <v>1</v>
      </c>
      <c r="Y452">
        <v>1</v>
      </c>
      <c r="Z452">
        <v>0.73</v>
      </c>
      <c r="AA452">
        <v>0.93</v>
      </c>
      <c r="AB452">
        <v>3</v>
      </c>
      <c r="AC452">
        <v>0.93</v>
      </c>
      <c r="AD452">
        <v>0.93</v>
      </c>
      <c r="AE452">
        <v>1.1000000000000001</v>
      </c>
      <c r="AF452">
        <v>0.5</v>
      </c>
      <c r="AG452" t="str">
        <f t="shared" si="413"/>
        <v>205</v>
      </c>
      <c r="AH452" t="str">
        <f t="shared" si="414"/>
        <v>（株）ムロコーポレーション</v>
      </c>
      <c r="AI452" t="str">
        <f>"263"</f>
        <v>263</v>
      </c>
      <c r="AJ452" t="str">
        <f>"S-SM-2-41"</f>
        <v>S-SM-2-41</v>
      </c>
      <c r="AK452" t="str">
        <f>"10308"</f>
        <v>10308</v>
      </c>
      <c r="AL452" t="str">
        <f t="shared" ref="AL452:AL497" si="436">"0370"</f>
        <v>0370</v>
      </c>
      <c r="AM452" t="str">
        <f t="shared" ref="AM452:AM497" si="437">"ｼﾑ"</f>
        <v>ｼﾑ</v>
      </c>
      <c r="AN452" t="str">
        <f t="shared" si="415"/>
        <v>012</v>
      </c>
      <c r="AO452" t="str">
        <f t="shared" si="416"/>
        <v>TP-131 ﾊﾝﾖｳ</v>
      </c>
      <c r="AP452">
        <v>100</v>
      </c>
      <c r="AQ452" t="str">
        <f>""</f>
        <v/>
      </c>
      <c r="AR452" t="str">
        <f>""</f>
        <v/>
      </c>
      <c r="AS452" t="str">
        <f>""</f>
        <v/>
      </c>
      <c r="AT452" t="str">
        <f t="shared" si="417"/>
        <v>00</v>
      </c>
      <c r="AU452">
        <v>0.5</v>
      </c>
      <c r="AV452" t="str">
        <f>""</f>
        <v/>
      </c>
      <c r="AW452" t="str">
        <f t="shared" ref="AW452:AW497" si="438">"06"</f>
        <v>06</v>
      </c>
      <c r="AX452" t="str">
        <f t="shared" ref="AX452:AX497" si="439">"計画"</f>
        <v>計画</v>
      </c>
      <c r="AY452" t="str">
        <f t="shared" ref="AY452:AY497" si="440">"02"</f>
        <v>02</v>
      </c>
      <c r="AZ452" t="str">
        <f t="shared" ref="AZ452:AZ497" si="441">"計画・２社"</f>
        <v>計画・２社</v>
      </c>
      <c r="BA452" t="str">
        <f>""</f>
        <v/>
      </c>
      <c r="BB452" t="str">
        <f t="shared" si="418"/>
        <v>ＴＰ１３１フタナシ</v>
      </c>
      <c r="BC452" t="str">
        <f t="shared" si="419"/>
        <v xml:space="preserve"> 335.000</v>
      </c>
      <c r="BD452" t="str">
        <f t="shared" si="420"/>
        <v xml:space="preserve"> 168.000</v>
      </c>
      <c r="BE452" t="str">
        <f t="shared" si="421"/>
        <v xml:space="preserve"> 103.000</v>
      </c>
      <c r="BF452" t="str">
        <f t="shared" si="422"/>
        <v xml:space="preserve">   0.006</v>
      </c>
      <c r="BG452" t="str">
        <f t="shared" si="409"/>
        <v xml:space="preserve">   6.500</v>
      </c>
      <c r="BH452" t="str">
        <f t="shared" si="406"/>
        <v>しない</v>
      </c>
      <c r="BI452" t="str">
        <f>""</f>
        <v/>
      </c>
      <c r="BJ452" t="str">
        <f t="shared" si="403"/>
        <v>MASTER01</v>
      </c>
      <c r="BK452" t="str">
        <f t="shared" si="405"/>
        <v>2022/04/19</v>
      </c>
      <c r="BL452" t="str">
        <f t="shared" si="433"/>
        <v>NE00</v>
      </c>
      <c r="BM452" t="str">
        <f t="shared" si="434"/>
        <v>１工工務Ｇ</v>
      </c>
      <c r="BN452" t="str">
        <f t="shared" si="401"/>
        <v>46548</v>
      </c>
      <c r="BO452" t="str">
        <f t="shared" si="402"/>
        <v>長畑　玲奈</v>
      </c>
    </row>
    <row r="453" spans="1:67">
      <c r="A453" t="s">
        <v>535</v>
      </c>
      <c r="B453" t="str">
        <f>""</f>
        <v/>
      </c>
      <c r="C453" t="str">
        <f>""</f>
        <v/>
      </c>
      <c r="D453" t="str">
        <f t="shared" si="435"/>
        <v>SHIM</v>
      </c>
      <c r="E453" t="str">
        <f t="shared" si="423"/>
        <v>1Y</v>
      </c>
      <c r="F453" t="str">
        <f t="shared" si="424"/>
        <v>第１工場</v>
      </c>
      <c r="G453" t="str">
        <f t="shared" si="425"/>
        <v>手配</v>
      </c>
      <c r="H453" t="str">
        <f t="shared" si="426"/>
        <v>Ｐ</v>
      </c>
      <c r="I453" t="str">
        <f t="shared" si="411"/>
        <v>6454</v>
      </c>
      <c r="J453" t="str">
        <f t="shared" si="412"/>
        <v>（株）ムロコーポレーション</v>
      </c>
      <c r="K453" t="str">
        <f t="shared" si="410"/>
        <v>01</v>
      </c>
      <c r="L453" t="str">
        <f>""</f>
        <v/>
      </c>
      <c r="M453" t="str">
        <f t="shared" si="407"/>
        <v>――</v>
      </c>
      <c r="N453" t="str">
        <f t="shared" si="407"/>
        <v>――</v>
      </c>
      <c r="O453" t="str">
        <f t="shared" si="427"/>
        <v>Ｍ</v>
      </c>
      <c r="P453" t="str">
        <f t="shared" si="428"/>
        <v>01</v>
      </c>
      <c r="Q453" t="str">
        <f t="shared" si="429"/>
        <v>第１</v>
      </c>
      <c r="R453" t="str">
        <f t="shared" si="430"/>
        <v>1Y</v>
      </c>
      <c r="S453" t="str">
        <f t="shared" si="431"/>
        <v>安城第１工場</v>
      </c>
      <c r="T453" t="str">
        <f t="shared" si="432"/>
        <v>直接</v>
      </c>
      <c r="U453" t="str">
        <f>""</f>
        <v/>
      </c>
      <c r="V453" t="str">
        <f>""</f>
        <v/>
      </c>
      <c r="W453" t="str">
        <f>""</f>
        <v/>
      </c>
      <c r="X453">
        <v>1</v>
      </c>
      <c r="Y453">
        <v>1</v>
      </c>
      <c r="Z453">
        <v>0.73</v>
      </c>
      <c r="AA453">
        <v>0.93</v>
      </c>
      <c r="AB453">
        <v>3</v>
      </c>
      <c r="AC453">
        <v>0.93</v>
      </c>
      <c r="AD453">
        <v>0.93</v>
      </c>
      <c r="AE453">
        <v>1.1000000000000001</v>
      </c>
      <c r="AF453">
        <v>0.5</v>
      </c>
      <c r="AG453" t="str">
        <f t="shared" si="413"/>
        <v>205</v>
      </c>
      <c r="AH453" t="str">
        <f t="shared" si="414"/>
        <v>（株）ムロコーポレーション</v>
      </c>
      <c r="AI453" t="str">
        <f>"264"</f>
        <v>264</v>
      </c>
      <c r="AJ453" t="str">
        <f>"S-SM-2-42"</f>
        <v>S-SM-2-42</v>
      </c>
      <c r="AK453" t="str">
        <f>"10309"</f>
        <v>10309</v>
      </c>
      <c r="AL453" t="str">
        <f t="shared" si="436"/>
        <v>0370</v>
      </c>
      <c r="AM453" t="str">
        <f t="shared" si="437"/>
        <v>ｼﾑ</v>
      </c>
      <c r="AN453" t="str">
        <f t="shared" si="415"/>
        <v>012</v>
      </c>
      <c r="AO453" t="str">
        <f t="shared" si="416"/>
        <v>TP-131 ﾊﾝﾖｳ</v>
      </c>
      <c r="AP453">
        <v>100</v>
      </c>
      <c r="AQ453" t="str">
        <f>""</f>
        <v/>
      </c>
      <c r="AR453" t="str">
        <f>""</f>
        <v/>
      </c>
      <c r="AS453" t="str">
        <f>""</f>
        <v/>
      </c>
      <c r="AT453" t="str">
        <f t="shared" si="417"/>
        <v>00</v>
      </c>
      <c r="AU453">
        <v>0.5</v>
      </c>
      <c r="AV453" t="str">
        <f>""</f>
        <v/>
      </c>
      <c r="AW453" t="str">
        <f t="shared" si="438"/>
        <v>06</v>
      </c>
      <c r="AX453" t="str">
        <f t="shared" si="439"/>
        <v>計画</v>
      </c>
      <c r="AY453" t="str">
        <f t="shared" si="440"/>
        <v>02</v>
      </c>
      <c r="AZ453" t="str">
        <f t="shared" si="441"/>
        <v>計画・２社</v>
      </c>
      <c r="BA453" t="str">
        <f>""</f>
        <v/>
      </c>
      <c r="BB453" t="str">
        <f t="shared" si="418"/>
        <v>ＴＰ１３１フタナシ</v>
      </c>
      <c r="BC453" t="str">
        <f t="shared" si="419"/>
        <v xml:space="preserve"> 335.000</v>
      </c>
      <c r="BD453" t="str">
        <f t="shared" si="420"/>
        <v xml:space="preserve"> 168.000</v>
      </c>
      <c r="BE453" t="str">
        <f t="shared" si="421"/>
        <v xml:space="preserve"> 103.000</v>
      </c>
      <c r="BF453" t="str">
        <f t="shared" si="422"/>
        <v xml:space="preserve">   0.006</v>
      </c>
      <c r="BG453" t="str">
        <f t="shared" si="409"/>
        <v xml:space="preserve">   6.500</v>
      </c>
      <c r="BH453" t="str">
        <f t="shared" si="406"/>
        <v>しない</v>
      </c>
      <c r="BI453" t="str">
        <f>""</f>
        <v/>
      </c>
      <c r="BJ453" t="str">
        <f t="shared" si="403"/>
        <v>MASTER01</v>
      </c>
      <c r="BK453" t="str">
        <f t="shared" si="405"/>
        <v>2022/04/19</v>
      </c>
      <c r="BL453" t="str">
        <f t="shared" si="433"/>
        <v>NE00</v>
      </c>
      <c r="BM453" t="str">
        <f t="shared" si="434"/>
        <v>１工工務Ｇ</v>
      </c>
      <c r="BN453" t="str">
        <f t="shared" ref="BN453:BN518" si="442">"46548"</f>
        <v>46548</v>
      </c>
      <c r="BO453" t="str">
        <f t="shared" ref="BO453:BO518" si="443">"長畑　玲奈"</f>
        <v>長畑　玲奈</v>
      </c>
    </row>
    <row r="454" spans="1:67">
      <c r="A454" t="s">
        <v>536</v>
      </c>
      <c r="B454" t="str">
        <f>""</f>
        <v/>
      </c>
      <c r="C454" t="str">
        <f>""</f>
        <v/>
      </c>
      <c r="D454" t="str">
        <f t="shared" si="435"/>
        <v>SHIM</v>
      </c>
      <c r="E454" t="str">
        <f t="shared" si="423"/>
        <v>1Y</v>
      </c>
      <c r="F454" t="str">
        <f t="shared" si="424"/>
        <v>第１工場</v>
      </c>
      <c r="G454" t="str">
        <f t="shared" si="425"/>
        <v>手配</v>
      </c>
      <c r="H454" t="str">
        <f t="shared" si="426"/>
        <v>Ｐ</v>
      </c>
      <c r="I454" t="str">
        <f t="shared" si="411"/>
        <v>6454</v>
      </c>
      <c r="J454" t="str">
        <f t="shared" si="412"/>
        <v>（株）ムロコーポレーション</v>
      </c>
      <c r="K454" t="str">
        <f t="shared" si="410"/>
        <v>01</v>
      </c>
      <c r="L454" t="str">
        <f>""</f>
        <v/>
      </c>
      <c r="M454" t="str">
        <f t="shared" si="407"/>
        <v>――</v>
      </c>
      <c r="N454" t="str">
        <f t="shared" si="407"/>
        <v>――</v>
      </c>
      <c r="O454" t="str">
        <f t="shared" si="427"/>
        <v>Ｍ</v>
      </c>
      <c r="P454" t="str">
        <f t="shared" si="428"/>
        <v>01</v>
      </c>
      <c r="Q454" t="str">
        <f t="shared" si="429"/>
        <v>第１</v>
      </c>
      <c r="R454" t="str">
        <f t="shared" si="430"/>
        <v>1Y</v>
      </c>
      <c r="S454" t="str">
        <f t="shared" si="431"/>
        <v>安城第１工場</v>
      </c>
      <c r="T454" t="str">
        <f t="shared" si="432"/>
        <v>直接</v>
      </c>
      <c r="U454" t="str">
        <f>""</f>
        <v/>
      </c>
      <c r="V454" t="str">
        <f>""</f>
        <v/>
      </c>
      <c r="W454" t="str">
        <f>""</f>
        <v/>
      </c>
      <c r="X454">
        <v>1</v>
      </c>
      <c r="Y454">
        <v>1</v>
      </c>
      <c r="Z454">
        <v>0.73</v>
      </c>
      <c r="AA454">
        <v>0.93</v>
      </c>
      <c r="AB454">
        <v>3</v>
      </c>
      <c r="AC454">
        <v>0.93</v>
      </c>
      <c r="AD454">
        <v>0.93</v>
      </c>
      <c r="AE454">
        <v>1.1000000000000001</v>
      </c>
      <c r="AF454">
        <v>0.5</v>
      </c>
      <c r="AG454" t="str">
        <f t="shared" si="413"/>
        <v>205</v>
      </c>
      <c r="AH454" t="str">
        <f t="shared" si="414"/>
        <v>（株）ムロコーポレーション</v>
      </c>
      <c r="AI454" t="str">
        <f>"265"</f>
        <v>265</v>
      </c>
      <c r="AJ454" t="str">
        <f>"S-SM-2-43"</f>
        <v>S-SM-2-43</v>
      </c>
      <c r="AK454" t="str">
        <f>"10310"</f>
        <v>10310</v>
      </c>
      <c r="AL454" t="str">
        <f t="shared" si="436"/>
        <v>0370</v>
      </c>
      <c r="AM454" t="str">
        <f t="shared" si="437"/>
        <v>ｼﾑ</v>
      </c>
      <c r="AN454" t="str">
        <f t="shared" si="415"/>
        <v>012</v>
      </c>
      <c r="AO454" t="str">
        <f t="shared" si="416"/>
        <v>TP-131 ﾊﾝﾖｳ</v>
      </c>
      <c r="AP454">
        <v>100</v>
      </c>
      <c r="AQ454" t="str">
        <f>""</f>
        <v/>
      </c>
      <c r="AR454" t="str">
        <f>""</f>
        <v/>
      </c>
      <c r="AS454" t="str">
        <f>""</f>
        <v/>
      </c>
      <c r="AT454" t="str">
        <f t="shared" si="417"/>
        <v>00</v>
      </c>
      <c r="AU454">
        <v>0.5</v>
      </c>
      <c r="AV454" t="str">
        <f>""</f>
        <v/>
      </c>
      <c r="AW454" t="str">
        <f t="shared" si="438"/>
        <v>06</v>
      </c>
      <c r="AX454" t="str">
        <f t="shared" si="439"/>
        <v>計画</v>
      </c>
      <c r="AY454" t="str">
        <f t="shared" si="440"/>
        <v>02</v>
      </c>
      <c r="AZ454" t="str">
        <f t="shared" si="441"/>
        <v>計画・２社</v>
      </c>
      <c r="BA454" t="str">
        <f>""</f>
        <v/>
      </c>
      <c r="BB454" t="str">
        <f t="shared" si="418"/>
        <v>ＴＰ１３１フタナシ</v>
      </c>
      <c r="BC454" t="str">
        <f t="shared" si="419"/>
        <v xml:space="preserve"> 335.000</v>
      </c>
      <c r="BD454" t="str">
        <f t="shared" si="420"/>
        <v xml:space="preserve"> 168.000</v>
      </c>
      <c r="BE454" t="str">
        <f t="shared" si="421"/>
        <v xml:space="preserve"> 103.000</v>
      </c>
      <c r="BF454" t="str">
        <f t="shared" si="422"/>
        <v xml:space="preserve">   0.006</v>
      </c>
      <c r="BG454" t="str">
        <f t="shared" si="409"/>
        <v xml:space="preserve">   6.500</v>
      </c>
      <c r="BH454" t="str">
        <f t="shared" si="406"/>
        <v>しない</v>
      </c>
      <c r="BI454" t="str">
        <f>""</f>
        <v/>
      </c>
      <c r="BJ454" t="str">
        <f t="shared" si="403"/>
        <v>MASTER01</v>
      </c>
      <c r="BK454" t="str">
        <f t="shared" si="405"/>
        <v>2022/04/19</v>
      </c>
      <c r="BL454" t="str">
        <f t="shared" si="433"/>
        <v>NE00</v>
      </c>
      <c r="BM454" t="str">
        <f t="shared" si="434"/>
        <v>１工工務Ｇ</v>
      </c>
      <c r="BN454" t="str">
        <f t="shared" si="442"/>
        <v>46548</v>
      </c>
      <c r="BO454" t="str">
        <f t="shared" si="443"/>
        <v>長畑　玲奈</v>
      </c>
    </row>
    <row r="455" spans="1:67">
      <c r="A455" t="s">
        <v>537</v>
      </c>
      <c r="B455" t="str">
        <f>""</f>
        <v/>
      </c>
      <c r="C455" t="str">
        <f>""</f>
        <v/>
      </c>
      <c r="D455" t="str">
        <f t="shared" si="435"/>
        <v>SHIM</v>
      </c>
      <c r="E455" t="str">
        <f t="shared" si="423"/>
        <v>1Y</v>
      </c>
      <c r="F455" t="str">
        <f t="shared" si="424"/>
        <v>第１工場</v>
      </c>
      <c r="G455" t="str">
        <f t="shared" si="425"/>
        <v>手配</v>
      </c>
      <c r="H455" t="str">
        <f t="shared" si="426"/>
        <v>Ｐ</v>
      </c>
      <c r="I455" t="str">
        <f t="shared" si="411"/>
        <v>6454</v>
      </c>
      <c r="J455" t="str">
        <f t="shared" si="412"/>
        <v>（株）ムロコーポレーション</v>
      </c>
      <c r="K455" t="str">
        <f t="shared" si="410"/>
        <v>01</v>
      </c>
      <c r="L455" t="str">
        <f>""</f>
        <v/>
      </c>
      <c r="M455" t="str">
        <f t="shared" si="407"/>
        <v>――</v>
      </c>
      <c r="N455" t="str">
        <f t="shared" si="407"/>
        <v>――</v>
      </c>
      <c r="O455" t="str">
        <f t="shared" si="427"/>
        <v>Ｍ</v>
      </c>
      <c r="P455" t="str">
        <f t="shared" si="428"/>
        <v>01</v>
      </c>
      <c r="Q455" t="str">
        <f t="shared" si="429"/>
        <v>第１</v>
      </c>
      <c r="R455" t="str">
        <f t="shared" si="430"/>
        <v>1Y</v>
      </c>
      <c r="S455" t="str">
        <f t="shared" si="431"/>
        <v>安城第１工場</v>
      </c>
      <c r="T455" t="str">
        <f t="shared" si="432"/>
        <v>直接</v>
      </c>
      <c r="U455" t="str">
        <f>""</f>
        <v/>
      </c>
      <c r="V455" t="str">
        <f>""</f>
        <v/>
      </c>
      <c r="W455" t="str">
        <f>""</f>
        <v/>
      </c>
      <c r="X455">
        <v>1</v>
      </c>
      <c r="Y455">
        <v>1</v>
      </c>
      <c r="Z455">
        <v>0.73</v>
      </c>
      <c r="AA455">
        <v>0.93</v>
      </c>
      <c r="AB455">
        <v>3</v>
      </c>
      <c r="AC455">
        <v>0.93</v>
      </c>
      <c r="AD455">
        <v>0.93</v>
      </c>
      <c r="AE455">
        <v>1.1000000000000001</v>
      </c>
      <c r="AF455">
        <v>0.5</v>
      </c>
      <c r="AG455" t="str">
        <f t="shared" si="413"/>
        <v>205</v>
      </c>
      <c r="AH455" t="str">
        <f t="shared" si="414"/>
        <v>（株）ムロコーポレーション</v>
      </c>
      <c r="AI455" t="str">
        <f>"266"</f>
        <v>266</v>
      </c>
      <c r="AJ455" t="str">
        <f>"S-SM-2-44"</f>
        <v>S-SM-2-44</v>
      </c>
      <c r="AK455" t="str">
        <f>"10311"</f>
        <v>10311</v>
      </c>
      <c r="AL455" t="str">
        <f t="shared" si="436"/>
        <v>0370</v>
      </c>
      <c r="AM455" t="str">
        <f t="shared" si="437"/>
        <v>ｼﾑ</v>
      </c>
      <c r="AN455" t="str">
        <f t="shared" si="415"/>
        <v>012</v>
      </c>
      <c r="AO455" t="str">
        <f t="shared" si="416"/>
        <v>TP-131 ﾊﾝﾖｳ</v>
      </c>
      <c r="AP455">
        <v>100</v>
      </c>
      <c r="AQ455" t="str">
        <f>""</f>
        <v/>
      </c>
      <c r="AR455" t="str">
        <f>""</f>
        <v/>
      </c>
      <c r="AS455" t="str">
        <f>""</f>
        <v/>
      </c>
      <c r="AT455" t="str">
        <f t="shared" si="417"/>
        <v>00</v>
      </c>
      <c r="AU455">
        <v>0.5</v>
      </c>
      <c r="AV455" t="str">
        <f>""</f>
        <v/>
      </c>
      <c r="AW455" t="str">
        <f t="shared" si="438"/>
        <v>06</v>
      </c>
      <c r="AX455" t="str">
        <f t="shared" si="439"/>
        <v>計画</v>
      </c>
      <c r="AY455" t="str">
        <f t="shared" si="440"/>
        <v>02</v>
      </c>
      <c r="AZ455" t="str">
        <f t="shared" si="441"/>
        <v>計画・２社</v>
      </c>
      <c r="BA455" t="str">
        <f>""</f>
        <v/>
      </c>
      <c r="BB455" t="str">
        <f t="shared" si="418"/>
        <v>ＴＰ１３１フタナシ</v>
      </c>
      <c r="BC455" t="str">
        <f t="shared" si="419"/>
        <v xml:space="preserve"> 335.000</v>
      </c>
      <c r="BD455" t="str">
        <f t="shared" si="420"/>
        <v xml:space="preserve"> 168.000</v>
      </c>
      <c r="BE455" t="str">
        <f t="shared" si="421"/>
        <v xml:space="preserve"> 103.000</v>
      </c>
      <c r="BF455" t="str">
        <f t="shared" si="422"/>
        <v xml:space="preserve">   0.006</v>
      </c>
      <c r="BG455" t="str">
        <f t="shared" si="409"/>
        <v xml:space="preserve">   6.500</v>
      </c>
      <c r="BH455" t="str">
        <f t="shared" si="406"/>
        <v>しない</v>
      </c>
      <c r="BI455" t="str">
        <f>""</f>
        <v/>
      </c>
      <c r="BJ455" t="str">
        <f t="shared" si="403"/>
        <v>MASTER01</v>
      </c>
      <c r="BK455" t="str">
        <f t="shared" si="405"/>
        <v>2022/04/19</v>
      </c>
      <c r="BL455" t="str">
        <f t="shared" si="433"/>
        <v>NE00</v>
      </c>
      <c r="BM455" t="str">
        <f t="shared" si="434"/>
        <v>１工工務Ｇ</v>
      </c>
      <c r="BN455" t="str">
        <f t="shared" si="442"/>
        <v>46548</v>
      </c>
      <c r="BO455" t="str">
        <f t="shared" si="443"/>
        <v>長畑　玲奈</v>
      </c>
    </row>
    <row r="456" spans="1:67">
      <c r="A456" t="s">
        <v>538</v>
      </c>
      <c r="B456" t="str">
        <f>""</f>
        <v/>
      </c>
      <c r="C456" t="str">
        <f>""</f>
        <v/>
      </c>
      <c r="D456" t="str">
        <f t="shared" si="435"/>
        <v>SHIM</v>
      </c>
      <c r="E456" t="str">
        <f t="shared" si="423"/>
        <v>1Y</v>
      </c>
      <c r="F456" t="str">
        <f t="shared" si="424"/>
        <v>第１工場</v>
      </c>
      <c r="G456" t="str">
        <f t="shared" si="425"/>
        <v>手配</v>
      </c>
      <c r="H456" t="str">
        <f t="shared" si="426"/>
        <v>Ｐ</v>
      </c>
      <c r="I456" t="str">
        <f t="shared" si="411"/>
        <v>6454</v>
      </c>
      <c r="J456" t="str">
        <f t="shared" si="412"/>
        <v>（株）ムロコーポレーション</v>
      </c>
      <c r="K456" t="str">
        <f t="shared" si="410"/>
        <v>01</v>
      </c>
      <c r="L456" t="str">
        <f>""</f>
        <v/>
      </c>
      <c r="M456" t="str">
        <f t="shared" si="407"/>
        <v>――</v>
      </c>
      <c r="N456" t="str">
        <f t="shared" si="407"/>
        <v>――</v>
      </c>
      <c r="O456" t="str">
        <f t="shared" si="427"/>
        <v>Ｍ</v>
      </c>
      <c r="P456" t="str">
        <f t="shared" si="428"/>
        <v>01</v>
      </c>
      <c r="Q456" t="str">
        <f t="shared" si="429"/>
        <v>第１</v>
      </c>
      <c r="R456" t="str">
        <f t="shared" si="430"/>
        <v>1Y</v>
      </c>
      <c r="S456" t="str">
        <f t="shared" si="431"/>
        <v>安城第１工場</v>
      </c>
      <c r="T456" t="str">
        <f t="shared" si="432"/>
        <v>直接</v>
      </c>
      <c r="U456" t="str">
        <f>""</f>
        <v/>
      </c>
      <c r="V456" t="str">
        <f>""</f>
        <v/>
      </c>
      <c r="W456" t="str">
        <f>""</f>
        <v/>
      </c>
      <c r="X456">
        <v>1</v>
      </c>
      <c r="Y456">
        <v>1</v>
      </c>
      <c r="Z456">
        <v>0.73</v>
      </c>
      <c r="AA456">
        <v>0.93</v>
      </c>
      <c r="AB456">
        <v>3</v>
      </c>
      <c r="AC456">
        <v>0.93</v>
      </c>
      <c r="AD456">
        <v>0.93</v>
      </c>
      <c r="AE456">
        <v>1.1000000000000001</v>
      </c>
      <c r="AF456">
        <v>0.5</v>
      </c>
      <c r="AG456" t="str">
        <f t="shared" si="413"/>
        <v>205</v>
      </c>
      <c r="AH456" t="str">
        <f t="shared" si="414"/>
        <v>（株）ムロコーポレーション</v>
      </c>
      <c r="AI456" t="str">
        <f>"267"</f>
        <v>267</v>
      </c>
      <c r="AJ456" t="str">
        <f>"S-SM-2-45"</f>
        <v>S-SM-2-45</v>
      </c>
      <c r="AK456" t="str">
        <f>"10312"</f>
        <v>10312</v>
      </c>
      <c r="AL456" t="str">
        <f t="shared" si="436"/>
        <v>0370</v>
      </c>
      <c r="AM456" t="str">
        <f t="shared" si="437"/>
        <v>ｼﾑ</v>
      </c>
      <c r="AN456" t="str">
        <f t="shared" si="415"/>
        <v>012</v>
      </c>
      <c r="AO456" t="str">
        <f t="shared" si="416"/>
        <v>TP-131 ﾊﾝﾖｳ</v>
      </c>
      <c r="AP456">
        <v>100</v>
      </c>
      <c r="AQ456" t="str">
        <f>""</f>
        <v/>
      </c>
      <c r="AR456" t="str">
        <f>""</f>
        <v/>
      </c>
      <c r="AS456" t="str">
        <f>""</f>
        <v/>
      </c>
      <c r="AT456" t="str">
        <f t="shared" si="417"/>
        <v>00</v>
      </c>
      <c r="AU456">
        <v>0.5</v>
      </c>
      <c r="AV456" t="str">
        <f>""</f>
        <v/>
      </c>
      <c r="AW456" t="str">
        <f t="shared" si="438"/>
        <v>06</v>
      </c>
      <c r="AX456" t="str">
        <f t="shared" si="439"/>
        <v>計画</v>
      </c>
      <c r="AY456" t="str">
        <f t="shared" si="440"/>
        <v>02</v>
      </c>
      <c r="AZ456" t="str">
        <f t="shared" si="441"/>
        <v>計画・２社</v>
      </c>
      <c r="BA456" t="str">
        <f>""</f>
        <v/>
      </c>
      <c r="BB456" t="str">
        <f t="shared" si="418"/>
        <v>ＴＰ１３１フタナシ</v>
      </c>
      <c r="BC456" t="str">
        <f t="shared" si="419"/>
        <v xml:space="preserve"> 335.000</v>
      </c>
      <c r="BD456" t="str">
        <f t="shared" si="420"/>
        <v xml:space="preserve"> 168.000</v>
      </c>
      <c r="BE456" t="str">
        <f t="shared" si="421"/>
        <v xml:space="preserve"> 103.000</v>
      </c>
      <c r="BF456" t="str">
        <f t="shared" si="422"/>
        <v xml:space="preserve">   0.006</v>
      </c>
      <c r="BG456" t="str">
        <f t="shared" si="409"/>
        <v xml:space="preserve">   6.500</v>
      </c>
      <c r="BH456" t="str">
        <f t="shared" si="406"/>
        <v>しない</v>
      </c>
      <c r="BI456" t="str">
        <f>""</f>
        <v/>
      </c>
      <c r="BJ456" t="str">
        <f t="shared" si="403"/>
        <v>MASTER01</v>
      </c>
      <c r="BK456" t="str">
        <f t="shared" si="405"/>
        <v>2022/04/19</v>
      </c>
      <c r="BL456" t="str">
        <f t="shared" si="433"/>
        <v>NE00</v>
      </c>
      <c r="BM456" t="str">
        <f t="shared" si="434"/>
        <v>１工工務Ｇ</v>
      </c>
      <c r="BN456" t="str">
        <f t="shared" si="442"/>
        <v>46548</v>
      </c>
      <c r="BO456" t="str">
        <f t="shared" si="443"/>
        <v>長畑　玲奈</v>
      </c>
    </row>
    <row r="457" spans="1:67">
      <c r="A457" t="s">
        <v>539</v>
      </c>
      <c r="B457" t="str">
        <f>""</f>
        <v/>
      </c>
      <c r="C457" t="str">
        <f>""</f>
        <v/>
      </c>
      <c r="D457" t="str">
        <f t="shared" si="435"/>
        <v>SHIM</v>
      </c>
      <c r="E457" t="str">
        <f t="shared" si="423"/>
        <v>1Y</v>
      </c>
      <c r="F457" t="str">
        <f t="shared" si="424"/>
        <v>第１工場</v>
      </c>
      <c r="G457" t="str">
        <f t="shared" si="425"/>
        <v>手配</v>
      </c>
      <c r="H457" t="str">
        <f t="shared" si="426"/>
        <v>Ｐ</v>
      </c>
      <c r="I457" t="str">
        <f t="shared" si="411"/>
        <v>6454</v>
      </c>
      <c r="J457" t="str">
        <f t="shared" si="412"/>
        <v>（株）ムロコーポレーション</v>
      </c>
      <c r="K457" t="str">
        <f t="shared" si="410"/>
        <v>01</v>
      </c>
      <c r="L457" t="str">
        <f>""</f>
        <v/>
      </c>
      <c r="M457" t="str">
        <f t="shared" si="407"/>
        <v>――</v>
      </c>
      <c r="N457" t="str">
        <f t="shared" si="407"/>
        <v>――</v>
      </c>
      <c r="O457" t="str">
        <f t="shared" si="427"/>
        <v>Ｍ</v>
      </c>
      <c r="P457" t="str">
        <f t="shared" si="428"/>
        <v>01</v>
      </c>
      <c r="Q457" t="str">
        <f t="shared" si="429"/>
        <v>第１</v>
      </c>
      <c r="R457" t="str">
        <f t="shared" si="430"/>
        <v>1Y</v>
      </c>
      <c r="S457" t="str">
        <f t="shared" si="431"/>
        <v>安城第１工場</v>
      </c>
      <c r="T457" t="str">
        <f t="shared" si="432"/>
        <v>直接</v>
      </c>
      <c r="U457" t="str">
        <f>""</f>
        <v/>
      </c>
      <c r="V457" t="str">
        <f>""</f>
        <v/>
      </c>
      <c r="W457" t="str">
        <f>""</f>
        <v/>
      </c>
      <c r="X457">
        <v>1</v>
      </c>
      <c r="Y457">
        <v>1</v>
      </c>
      <c r="Z457">
        <v>0.73</v>
      </c>
      <c r="AA457">
        <v>0.93</v>
      </c>
      <c r="AB457">
        <v>3</v>
      </c>
      <c r="AC457">
        <v>0.93</v>
      </c>
      <c r="AD457">
        <v>0.93</v>
      </c>
      <c r="AE457">
        <v>1.1000000000000001</v>
      </c>
      <c r="AF457">
        <v>0.5</v>
      </c>
      <c r="AG457" t="str">
        <f t="shared" si="413"/>
        <v>205</v>
      </c>
      <c r="AH457" t="str">
        <f t="shared" si="414"/>
        <v>（株）ムロコーポレーション</v>
      </c>
      <c r="AI457" t="str">
        <f>"268"</f>
        <v>268</v>
      </c>
      <c r="AJ457" t="str">
        <f>"S-SM-2-46"</f>
        <v>S-SM-2-46</v>
      </c>
      <c r="AK457" t="str">
        <f>"10313"</f>
        <v>10313</v>
      </c>
      <c r="AL457" t="str">
        <f t="shared" si="436"/>
        <v>0370</v>
      </c>
      <c r="AM457" t="str">
        <f t="shared" si="437"/>
        <v>ｼﾑ</v>
      </c>
      <c r="AN457" t="str">
        <f t="shared" si="415"/>
        <v>012</v>
      </c>
      <c r="AO457" t="str">
        <f t="shared" si="416"/>
        <v>TP-131 ﾊﾝﾖｳ</v>
      </c>
      <c r="AP457">
        <v>100</v>
      </c>
      <c r="AQ457" t="str">
        <f>""</f>
        <v/>
      </c>
      <c r="AR457" t="str">
        <f>""</f>
        <v/>
      </c>
      <c r="AS457" t="str">
        <f>""</f>
        <v/>
      </c>
      <c r="AT457" t="str">
        <f t="shared" si="417"/>
        <v>00</v>
      </c>
      <c r="AU457">
        <v>0.5</v>
      </c>
      <c r="AV457" t="str">
        <f>""</f>
        <v/>
      </c>
      <c r="AW457" t="str">
        <f t="shared" si="438"/>
        <v>06</v>
      </c>
      <c r="AX457" t="str">
        <f t="shared" si="439"/>
        <v>計画</v>
      </c>
      <c r="AY457" t="str">
        <f t="shared" si="440"/>
        <v>02</v>
      </c>
      <c r="AZ457" t="str">
        <f t="shared" si="441"/>
        <v>計画・２社</v>
      </c>
      <c r="BA457" t="str">
        <f>""</f>
        <v/>
      </c>
      <c r="BB457" t="str">
        <f t="shared" si="418"/>
        <v>ＴＰ１３１フタナシ</v>
      </c>
      <c r="BC457" t="str">
        <f t="shared" si="419"/>
        <v xml:space="preserve"> 335.000</v>
      </c>
      <c r="BD457" t="str">
        <f t="shared" si="420"/>
        <v xml:space="preserve"> 168.000</v>
      </c>
      <c r="BE457" t="str">
        <f t="shared" si="421"/>
        <v xml:space="preserve"> 103.000</v>
      </c>
      <c r="BF457" t="str">
        <f t="shared" si="422"/>
        <v xml:space="preserve">   0.006</v>
      </c>
      <c r="BG457" t="str">
        <f t="shared" si="409"/>
        <v xml:space="preserve">   6.500</v>
      </c>
      <c r="BH457" t="str">
        <f t="shared" si="406"/>
        <v>しない</v>
      </c>
      <c r="BI457" t="str">
        <f>""</f>
        <v/>
      </c>
      <c r="BJ457" t="str">
        <f t="shared" si="403"/>
        <v>MASTER01</v>
      </c>
      <c r="BK457" t="str">
        <f t="shared" si="405"/>
        <v>2022/04/19</v>
      </c>
      <c r="BL457" t="str">
        <f t="shared" si="433"/>
        <v>NE00</v>
      </c>
      <c r="BM457" t="str">
        <f t="shared" si="434"/>
        <v>１工工務Ｇ</v>
      </c>
      <c r="BN457" t="str">
        <f t="shared" si="442"/>
        <v>46548</v>
      </c>
      <c r="BO457" t="str">
        <f t="shared" si="443"/>
        <v>長畑　玲奈</v>
      </c>
    </row>
    <row r="458" spans="1:67">
      <c r="A458" t="s">
        <v>540</v>
      </c>
      <c r="B458" t="str">
        <f>""</f>
        <v/>
      </c>
      <c r="C458" t="str">
        <f>""</f>
        <v/>
      </c>
      <c r="D458" t="str">
        <f t="shared" si="435"/>
        <v>SHIM</v>
      </c>
      <c r="E458" t="str">
        <f t="shared" si="423"/>
        <v>1Y</v>
      </c>
      <c r="F458" t="str">
        <f t="shared" si="424"/>
        <v>第１工場</v>
      </c>
      <c r="G458" t="str">
        <f t="shared" si="425"/>
        <v>手配</v>
      </c>
      <c r="H458" t="str">
        <f t="shared" si="426"/>
        <v>Ｐ</v>
      </c>
      <c r="I458" t="str">
        <f t="shared" si="411"/>
        <v>6454</v>
      </c>
      <c r="J458" t="str">
        <f t="shared" si="412"/>
        <v>（株）ムロコーポレーション</v>
      </c>
      <c r="K458" t="str">
        <f t="shared" si="410"/>
        <v>01</v>
      </c>
      <c r="L458" t="str">
        <f>""</f>
        <v/>
      </c>
      <c r="M458" t="str">
        <f t="shared" si="407"/>
        <v>――</v>
      </c>
      <c r="N458" t="str">
        <f t="shared" si="407"/>
        <v>――</v>
      </c>
      <c r="O458" t="str">
        <f t="shared" si="427"/>
        <v>Ｍ</v>
      </c>
      <c r="P458" t="str">
        <f t="shared" si="428"/>
        <v>01</v>
      </c>
      <c r="Q458" t="str">
        <f t="shared" si="429"/>
        <v>第１</v>
      </c>
      <c r="R458" t="str">
        <f t="shared" si="430"/>
        <v>1Y</v>
      </c>
      <c r="S458" t="str">
        <f t="shared" si="431"/>
        <v>安城第１工場</v>
      </c>
      <c r="T458" t="str">
        <f t="shared" si="432"/>
        <v>直接</v>
      </c>
      <c r="U458" t="str">
        <f>""</f>
        <v/>
      </c>
      <c r="V458" t="str">
        <f>""</f>
        <v/>
      </c>
      <c r="W458" t="str">
        <f>""</f>
        <v/>
      </c>
      <c r="X458">
        <v>1</v>
      </c>
      <c r="Y458">
        <v>1</v>
      </c>
      <c r="Z458">
        <v>0.73</v>
      </c>
      <c r="AA458">
        <v>0.93</v>
      </c>
      <c r="AB458">
        <v>3</v>
      </c>
      <c r="AC458">
        <v>0.93</v>
      </c>
      <c r="AD458">
        <v>0.93</v>
      </c>
      <c r="AE458">
        <v>1.1000000000000001</v>
      </c>
      <c r="AF458">
        <v>0.5</v>
      </c>
      <c r="AG458" t="str">
        <f t="shared" si="413"/>
        <v>205</v>
      </c>
      <c r="AH458" t="str">
        <f t="shared" si="414"/>
        <v>（株）ムロコーポレーション</v>
      </c>
      <c r="AI458" t="str">
        <f>"269"</f>
        <v>269</v>
      </c>
      <c r="AJ458" t="str">
        <f>"S-SM-2-47"</f>
        <v>S-SM-2-47</v>
      </c>
      <c r="AK458" t="str">
        <f>"10314"</f>
        <v>10314</v>
      </c>
      <c r="AL458" t="str">
        <f t="shared" si="436"/>
        <v>0370</v>
      </c>
      <c r="AM458" t="str">
        <f t="shared" si="437"/>
        <v>ｼﾑ</v>
      </c>
      <c r="AN458" t="str">
        <f t="shared" si="415"/>
        <v>012</v>
      </c>
      <c r="AO458" t="str">
        <f t="shared" si="416"/>
        <v>TP-131 ﾊﾝﾖｳ</v>
      </c>
      <c r="AP458">
        <v>100</v>
      </c>
      <c r="AQ458" t="str">
        <f>""</f>
        <v/>
      </c>
      <c r="AR458" t="str">
        <f>""</f>
        <v/>
      </c>
      <c r="AS458" t="str">
        <f>""</f>
        <v/>
      </c>
      <c r="AT458" t="str">
        <f t="shared" si="417"/>
        <v>00</v>
      </c>
      <c r="AU458">
        <v>0.5</v>
      </c>
      <c r="AV458" t="str">
        <f>""</f>
        <v/>
      </c>
      <c r="AW458" t="str">
        <f t="shared" si="438"/>
        <v>06</v>
      </c>
      <c r="AX458" t="str">
        <f t="shared" si="439"/>
        <v>計画</v>
      </c>
      <c r="AY458" t="str">
        <f t="shared" si="440"/>
        <v>02</v>
      </c>
      <c r="AZ458" t="str">
        <f t="shared" si="441"/>
        <v>計画・２社</v>
      </c>
      <c r="BA458" t="str">
        <f>""</f>
        <v/>
      </c>
      <c r="BB458" t="str">
        <f t="shared" si="418"/>
        <v>ＴＰ１３１フタナシ</v>
      </c>
      <c r="BC458" t="str">
        <f t="shared" si="419"/>
        <v xml:space="preserve"> 335.000</v>
      </c>
      <c r="BD458" t="str">
        <f t="shared" si="420"/>
        <v xml:space="preserve"> 168.000</v>
      </c>
      <c r="BE458" t="str">
        <f t="shared" si="421"/>
        <v xml:space="preserve"> 103.000</v>
      </c>
      <c r="BF458" t="str">
        <f t="shared" si="422"/>
        <v xml:space="preserve">   0.006</v>
      </c>
      <c r="BG458" t="str">
        <f t="shared" si="409"/>
        <v xml:space="preserve">   6.500</v>
      </c>
      <c r="BH458" t="str">
        <f t="shared" si="406"/>
        <v>しない</v>
      </c>
      <c r="BI458" t="str">
        <f>""</f>
        <v/>
      </c>
      <c r="BJ458" t="str">
        <f t="shared" si="403"/>
        <v>MASTER01</v>
      </c>
      <c r="BK458" t="str">
        <f t="shared" si="405"/>
        <v>2022/04/19</v>
      </c>
      <c r="BL458" t="str">
        <f t="shared" si="433"/>
        <v>NE00</v>
      </c>
      <c r="BM458" t="str">
        <f t="shared" si="434"/>
        <v>１工工務Ｇ</v>
      </c>
      <c r="BN458" t="str">
        <f t="shared" si="442"/>
        <v>46548</v>
      </c>
      <c r="BO458" t="str">
        <f t="shared" si="443"/>
        <v>長畑　玲奈</v>
      </c>
    </row>
    <row r="459" spans="1:67">
      <c r="A459" t="s">
        <v>541</v>
      </c>
      <c r="B459" t="str">
        <f>""</f>
        <v/>
      </c>
      <c r="C459" t="str">
        <f>""</f>
        <v/>
      </c>
      <c r="D459" t="str">
        <f t="shared" si="435"/>
        <v>SHIM</v>
      </c>
      <c r="E459" t="str">
        <f t="shared" si="423"/>
        <v>1Y</v>
      </c>
      <c r="F459" t="str">
        <f t="shared" si="424"/>
        <v>第１工場</v>
      </c>
      <c r="G459" t="str">
        <f t="shared" si="425"/>
        <v>手配</v>
      </c>
      <c r="H459" t="str">
        <f t="shared" si="426"/>
        <v>Ｐ</v>
      </c>
      <c r="I459" t="str">
        <f t="shared" si="411"/>
        <v>6454</v>
      </c>
      <c r="J459" t="str">
        <f t="shared" si="412"/>
        <v>（株）ムロコーポレーション</v>
      </c>
      <c r="K459" t="str">
        <f t="shared" si="410"/>
        <v>01</v>
      </c>
      <c r="L459" t="str">
        <f>""</f>
        <v/>
      </c>
      <c r="M459" t="str">
        <f t="shared" si="407"/>
        <v>――</v>
      </c>
      <c r="N459" t="str">
        <f t="shared" si="407"/>
        <v>――</v>
      </c>
      <c r="O459" t="str">
        <f t="shared" si="427"/>
        <v>Ｍ</v>
      </c>
      <c r="P459" t="str">
        <f t="shared" si="428"/>
        <v>01</v>
      </c>
      <c r="Q459" t="str">
        <f t="shared" si="429"/>
        <v>第１</v>
      </c>
      <c r="R459" t="str">
        <f t="shared" si="430"/>
        <v>1Y</v>
      </c>
      <c r="S459" t="str">
        <f t="shared" si="431"/>
        <v>安城第１工場</v>
      </c>
      <c r="T459" t="str">
        <f t="shared" si="432"/>
        <v>直接</v>
      </c>
      <c r="U459" t="str">
        <f>""</f>
        <v/>
      </c>
      <c r="V459" t="str">
        <f>""</f>
        <v/>
      </c>
      <c r="W459" t="str">
        <f>""</f>
        <v/>
      </c>
      <c r="X459">
        <v>1</v>
      </c>
      <c r="Y459">
        <v>1</v>
      </c>
      <c r="Z459">
        <v>0.73</v>
      </c>
      <c r="AA459">
        <v>0.93</v>
      </c>
      <c r="AB459">
        <v>3</v>
      </c>
      <c r="AC459">
        <v>0.93</v>
      </c>
      <c r="AD459">
        <v>0.93</v>
      </c>
      <c r="AE459">
        <v>1.1000000000000001</v>
      </c>
      <c r="AF459">
        <v>0.5</v>
      </c>
      <c r="AG459" t="str">
        <f t="shared" si="413"/>
        <v>205</v>
      </c>
      <c r="AH459" t="str">
        <f t="shared" si="414"/>
        <v>（株）ムロコーポレーション</v>
      </c>
      <c r="AI459" t="str">
        <f>"270"</f>
        <v>270</v>
      </c>
      <c r="AJ459" t="str">
        <f>"S-SM-2-48"</f>
        <v>S-SM-2-48</v>
      </c>
      <c r="AK459" t="str">
        <f>"10315"</f>
        <v>10315</v>
      </c>
      <c r="AL459" t="str">
        <f t="shared" si="436"/>
        <v>0370</v>
      </c>
      <c r="AM459" t="str">
        <f t="shared" si="437"/>
        <v>ｼﾑ</v>
      </c>
      <c r="AN459" t="str">
        <f t="shared" si="415"/>
        <v>012</v>
      </c>
      <c r="AO459" t="str">
        <f t="shared" si="416"/>
        <v>TP-131 ﾊﾝﾖｳ</v>
      </c>
      <c r="AP459">
        <v>100</v>
      </c>
      <c r="AQ459" t="str">
        <f>""</f>
        <v/>
      </c>
      <c r="AR459" t="str">
        <f>""</f>
        <v/>
      </c>
      <c r="AS459" t="str">
        <f>""</f>
        <v/>
      </c>
      <c r="AT459" t="str">
        <f t="shared" si="417"/>
        <v>00</v>
      </c>
      <c r="AU459">
        <v>0.5</v>
      </c>
      <c r="AV459" t="str">
        <f>""</f>
        <v/>
      </c>
      <c r="AW459" t="str">
        <f t="shared" si="438"/>
        <v>06</v>
      </c>
      <c r="AX459" t="str">
        <f t="shared" si="439"/>
        <v>計画</v>
      </c>
      <c r="AY459" t="str">
        <f t="shared" si="440"/>
        <v>02</v>
      </c>
      <c r="AZ459" t="str">
        <f t="shared" si="441"/>
        <v>計画・２社</v>
      </c>
      <c r="BA459" t="str">
        <f>""</f>
        <v/>
      </c>
      <c r="BB459" t="str">
        <f t="shared" si="418"/>
        <v>ＴＰ１３１フタナシ</v>
      </c>
      <c r="BC459" t="str">
        <f t="shared" si="419"/>
        <v xml:space="preserve"> 335.000</v>
      </c>
      <c r="BD459" t="str">
        <f t="shared" si="420"/>
        <v xml:space="preserve"> 168.000</v>
      </c>
      <c r="BE459" t="str">
        <f t="shared" si="421"/>
        <v xml:space="preserve"> 103.000</v>
      </c>
      <c r="BF459" t="str">
        <f t="shared" si="422"/>
        <v xml:space="preserve">   0.006</v>
      </c>
      <c r="BG459" t="str">
        <f t="shared" si="409"/>
        <v xml:space="preserve">   6.500</v>
      </c>
      <c r="BH459" t="str">
        <f t="shared" si="406"/>
        <v>しない</v>
      </c>
      <c r="BI459" t="str">
        <f>""</f>
        <v/>
      </c>
      <c r="BJ459" t="str">
        <f t="shared" si="403"/>
        <v>MASTER01</v>
      </c>
      <c r="BK459" t="str">
        <f t="shared" si="405"/>
        <v>2022/04/19</v>
      </c>
      <c r="BL459" t="str">
        <f t="shared" si="433"/>
        <v>NE00</v>
      </c>
      <c r="BM459" t="str">
        <f t="shared" si="434"/>
        <v>１工工務Ｇ</v>
      </c>
      <c r="BN459" t="str">
        <f t="shared" si="442"/>
        <v>46548</v>
      </c>
      <c r="BO459" t="str">
        <f t="shared" si="443"/>
        <v>長畑　玲奈</v>
      </c>
    </row>
    <row r="460" spans="1:67">
      <c r="A460" t="s">
        <v>542</v>
      </c>
      <c r="B460" t="str">
        <f>""</f>
        <v/>
      </c>
      <c r="C460" t="str">
        <f>""</f>
        <v/>
      </c>
      <c r="D460" t="str">
        <f t="shared" si="435"/>
        <v>SHIM</v>
      </c>
      <c r="E460" t="str">
        <f t="shared" si="423"/>
        <v>1Y</v>
      </c>
      <c r="F460" t="str">
        <f t="shared" si="424"/>
        <v>第１工場</v>
      </c>
      <c r="G460" t="str">
        <f t="shared" si="425"/>
        <v>手配</v>
      </c>
      <c r="H460" t="str">
        <f t="shared" si="426"/>
        <v>Ｐ</v>
      </c>
      <c r="I460" t="str">
        <f t="shared" si="411"/>
        <v>6454</v>
      </c>
      <c r="J460" t="str">
        <f t="shared" si="412"/>
        <v>（株）ムロコーポレーション</v>
      </c>
      <c r="K460" t="str">
        <f t="shared" si="410"/>
        <v>01</v>
      </c>
      <c r="L460" t="str">
        <f>""</f>
        <v/>
      </c>
      <c r="M460" t="str">
        <f t="shared" si="407"/>
        <v>――</v>
      </c>
      <c r="N460" t="str">
        <f t="shared" si="407"/>
        <v>――</v>
      </c>
      <c r="O460" t="str">
        <f t="shared" si="427"/>
        <v>Ｍ</v>
      </c>
      <c r="P460" t="str">
        <f t="shared" si="428"/>
        <v>01</v>
      </c>
      <c r="Q460" t="str">
        <f t="shared" si="429"/>
        <v>第１</v>
      </c>
      <c r="R460" t="str">
        <f t="shared" si="430"/>
        <v>1Y</v>
      </c>
      <c r="S460" t="str">
        <f t="shared" si="431"/>
        <v>安城第１工場</v>
      </c>
      <c r="T460" t="str">
        <f t="shared" si="432"/>
        <v>直接</v>
      </c>
      <c r="U460" t="str">
        <f>""</f>
        <v/>
      </c>
      <c r="V460" t="str">
        <f>""</f>
        <v/>
      </c>
      <c r="W460" t="str">
        <f>""</f>
        <v/>
      </c>
      <c r="X460">
        <v>1</v>
      </c>
      <c r="Y460">
        <v>1</v>
      </c>
      <c r="Z460">
        <v>0.73</v>
      </c>
      <c r="AA460">
        <v>0.93</v>
      </c>
      <c r="AB460">
        <v>3</v>
      </c>
      <c r="AC460">
        <v>0.93</v>
      </c>
      <c r="AD460">
        <v>0.93</v>
      </c>
      <c r="AE460">
        <v>1.1000000000000001</v>
      </c>
      <c r="AF460">
        <v>0.5</v>
      </c>
      <c r="AG460" t="str">
        <f t="shared" si="413"/>
        <v>205</v>
      </c>
      <c r="AH460" t="str">
        <f t="shared" si="414"/>
        <v>（株）ムロコーポレーション</v>
      </c>
      <c r="AI460" t="str">
        <f>"271"</f>
        <v>271</v>
      </c>
      <c r="AJ460" t="str">
        <f>"S-SM-2-49"</f>
        <v>S-SM-2-49</v>
      </c>
      <c r="AK460" t="str">
        <f>"10316"</f>
        <v>10316</v>
      </c>
      <c r="AL460" t="str">
        <f t="shared" si="436"/>
        <v>0370</v>
      </c>
      <c r="AM460" t="str">
        <f t="shared" si="437"/>
        <v>ｼﾑ</v>
      </c>
      <c r="AN460" t="str">
        <f t="shared" si="415"/>
        <v>012</v>
      </c>
      <c r="AO460" t="str">
        <f t="shared" si="416"/>
        <v>TP-131 ﾊﾝﾖｳ</v>
      </c>
      <c r="AP460">
        <v>100</v>
      </c>
      <c r="AQ460" t="str">
        <f>""</f>
        <v/>
      </c>
      <c r="AR460" t="str">
        <f>""</f>
        <v/>
      </c>
      <c r="AS460" t="str">
        <f>""</f>
        <v/>
      </c>
      <c r="AT460" t="str">
        <f t="shared" si="417"/>
        <v>00</v>
      </c>
      <c r="AU460">
        <v>0.5</v>
      </c>
      <c r="AV460" t="str">
        <f>""</f>
        <v/>
      </c>
      <c r="AW460" t="str">
        <f t="shared" si="438"/>
        <v>06</v>
      </c>
      <c r="AX460" t="str">
        <f t="shared" si="439"/>
        <v>計画</v>
      </c>
      <c r="AY460" t="str">
        <f t="shared" si="440"/>
        <v>02</v>
      </c>
      <c r="AZ460" t="str">
        <f t="shared" si="441"/>
        <v>計画・２社</v>
      </c>
      <c r="BA460" t="str">
        <f>""</f>
        <v/>
      </c>
      <c r="BB460" t="str">
        <f t="shared" si="418"/>
        <v>ＴＰ１３１フタナシ</v>
      </c>
      <c r="BC460" t="str">
        <f t="shared" si="419"/>
        <v xml:space="preserve"> 335.000</v>
      </c>
      <c r="BD460" t="str">
        <f t="shared" si="420"/>
        <v xml:space="preserve"> 168.000</v>
      </c>
      <c r="BE460" t="str">
        <f t="shared" si="421"/>
        <v xml:space="preserve"> 103.000</v>
      </c>
      <c r="BF460" t="str">
        <f t="shared" si="422"/>
        <v xml:space="preserve">   0.006</v>
      </c>
      <c r="BG460" t="str">
        <f t="shared" si="409"/>
        <v xml:space="preserve">   6.500</v>
      </c>
      <c r="BH460" t="str">
        <f t="shared" si="406"/>
        <v>しない</v>
      </c>
      <c r="BI460" t="str">
        <f>""</f>
        <v/>
      </c>
      <c r="BJ460" t="str">
        <f t="shared" si="403"/>
        <v>MASTER01</v>
      </c>
      <c r="BK460" t="str">
        <f t="shared" si="405"/>
        <v>2022/04/19</v>
      </c>
      <c r="BL460" t="str">
        <f t="shared" si="433"/>
        <v>NE00</v>
      </c>
      <c r="BM460" t="str">
        <f t="shared" si="434"/>
        <v>１工工務Ｇ</v>
      </c>
      <c r="BN460" t="str">
        <f t="shared" si="442"/>
        <v>46548</v>
      </c>
      <c r="BO460" t="str">
        <f t="shared" si="443"/>
        <v>長畑　玲奈</v>
      </c>
    </row>
    <row r="461" spans="1:67">
      <c r="A461" t="s">
        <v>543</v>
      </c>
      <c r="B461" t="str">
        <f>""</f>
        <v/>
      </c>
      <c r="C461" t="str">
        <f>""</f>
        <v/>
      </c>
      <c r="D461" t="str">
        <f t="shared" si="435"/>
        <v>SHIM</v>
      </c>
      <c r="E461" t="str">
        <f t="shared" si="423"/>
        <v>1Y</v>
      </c>
      <c r="F461" t="str">
        <f t="shared" si="424"/>
        <v>第１工場</v>
      </c>
      <c r="G461" t="str">
        <f t="shared" si="425"/>
        <v>手配</v>
      </c>
      <c r="H461" t="str">
        <f t="shared" si="426"/>
        <v>Ｐ</v>
      </c>
      <c r="I461" t="str">
        <f t="shared" si="411"/>
        <v>6454</v>
      </c>
      <c r="J461" t="str">
        <f t="shared" si="412"/>
        <v>（株）ムロコーポレーション</v>
      </c>
      <c r="K461" t="str">
        <f t="shared" si="410"/>
        <v>01</v>
      </c>
      <c r="L461" t="str">
        <f>""</f>
        <v/>
      </c>
      <c r="M461" t="str">
        <f t="shared" si="407"/>
        <v>――</v>
      </c>
      <c r="N461" t="str">
        <f t="shared" si="407"/>
        <v>――</v>
      </c>
      <c r="O461" t="str">
        <f t="shared" si="427"/>
        <v>Ｍ</v>
      </c>
      <c r="P461" t="str">
        <f t="shared" si="428"/>
        <v>01</v>
      </c>
      <c r="Q461" t="str">
        <f t="shared" si="429"/>
        <v>第１</v>
      </c>
      <c r="R461" t="str">
        <f t="shared" si="430"/>
        <v>1Y</v>
      </c>
      <c r="S461" t="str">
        <f t="shared" si="431"/>
        <v>安城第１工場</v>
      </c>
      <c r="T461" t="str">
        <f t="shared" si="432"/>
        <v>直接</v>
      </c>
      <c r="U461" t="str">
        <f>""</f>
        <v/>
      </c>
      <c r="V461" t="str">
        <f>""</f>
        <v/>
      </c>
      <c r="W461" t="str">
        <f>""</f>
        <v/>
      </c>
      <c r="X461">
        <v>1</v>
      </c>
      <c r="Y461">
        <v>1</v>
      </c>
      <c r="Z461">
        <v>0.73</v>
      </c>
      <c r="AA461">
        <v>0.93</v>
      </c>
      <c r="AB461">
        <v>3</v>
      </c>
      <c r="AC461">
        <v>0.93</v>
      </c>
      <c r="AD461">
        <v>0.93</v>
      </c>
      <c r="AE461">
        <v>1.1000000000000001</v>
      </c>
      <c r="AF461">
        <v>0.5</v>
      </c>
      <c r="AG461" t="str">
        <f t="shared" si="413"/>
        <v>205</v>
      </c>
      <c r="AH461" t="str">
        <f t="shared" si="414"/>
        <v>（株）ムロコーポレーション</v>
      </c>
      <c r="AI461" t="str">
        <f>"272"</f>
        <v>272</v>
      </c>
      <c r="AJ461" t="str">
        <f>"S-SM-2-50"</f>
        <v>S-SM-2-50</v>
      </c>
      <c r="AK461" t="str">
        <f>"10317"</f>
        <v>10317</v>
      </c>
      <c r="AL461" t="str">
        <f t="shared" si="436"/>
        <v>0370</v>
      </c>
      <c r="AM461" t="str">
        <f t="shared" si="437"/>
        <v>ｼﾑ</v>
      </c>
      <c r="AN461" t="str">
        <f t="shared" si="415"/>
        <v>012</v>
      </c>
      <c r="AO461" t="str">
        <f t="shared" si="416"/>
        <v>TP-131 ﾊﾝﾖｳ</v>
      </c>
      <c r="AP461">
        <v>100</v>
      </c>
      <c r="AQ461" t="str">
        <f>""</f>
        <v/>
      </c>
      <c r="AR461" t="str">
        <f>""</f>
        <v/>
      </c>
      <c r="AS461" t="str">
        <f>""</f>
        <v/>
      </c>
      <c r="AT461" t="str">
        <f t="shared" si="417"/>
        <v>00</v>
      </c>
      <c r="AU461">
        <v>0.5</v>
      </c>
      <c r="AV461" t="str">
        <f>""</f>
        <v/>
      </c>
      <c r="AW461" t="str">
        <f t="shared" si="438"/>
        <v>06</v>
      </c>
      <c r="AX461" t="str">
        <f t="shared" si="439"/>
        <v>計画</v>
      </c>
      <c r="AY461" t="str">
        <f t="shared" si="440"/>
        <v>02</v>
      </c>
      <c r="AZ461" t="str">
        <f t="shared" si="441"/>
        <v>計画・２社</v>
      </c>
      <c r="BA461" t="str">
        <f>""</f>
        <v/>
      </c>
      <c r="BB461" t="str">
        <f t="shared" si="418"/>
        <v>ＴＰ１３１フタナシ</v>
      </c>
      <c r="BC461" t="str">
        <f t="shared" si="419"/>
        <v xml:space="preserve"> 335.000</v>
      </c>
      <c r="BD461" t="str">
        <f t="shared" si="420"/>
        <v xml:space="preserve"> 168.000</v>
      </c>
      <c r="BE461" t="str">
        <f t="shared" si="421"/>
        <v xml:space="preserve"> 103.000</v>
      </c>
      <c r="BF461" t="str">
        <f t="shared" si="422"/>
        <v xml:space="preserve">   0.006</v>
      </c>
      <c r="BG461" t="str">
        <f t="shared" si="409"/>
        <v xml:space="preserve">   6.500</v>
      </c>
      <c r="BH461" t="str">
        <f t="shared" si="406"/>
        <v>しない</v>
      </c>
      <c r="BI461" t="str">
        <f>""</f>
        <v/>
      </c>
      <c r="BJ461" t="str">
        <f t="shared" si="403"/>
        <v>MASTER01</v>
      </c>
      <c r="BK461" t="str">
        <f t="shared" si="405"/>
        <v>2022/04/19</v>
      </c>
      <c r="BL461" t="str">
        <f t="shared" si="433"/>
        <v>NE00</v>
      </c>
      <c r="BM461" t="str">
        <f t="shared" si="434"/>
        <v>１工工務Ｇ</v>
      </c>
      <c r="BN461" t="str">
        <f t="shared" si="442"/>
        <v>46548</v>
      </c>
      <c r="BO461" t="str">
        <f t="shared" si="443"/>
        <v>長畑　玲奈</v>
      </c>
    </row>
    <row r="462" spans="1:67">
      <c r="A462" t="s">
        <v>544</v>
      </c>
      <c r="B462" t="str">
        <f>""</f>
        <v/>
      </c>
      <c r="C462" t="str">
        <f>""</f>
        <v/>
      </c>
      <c r="D462" t="str">
        <f t="shared" si="435"/>
        <v>SHIM</v>
      </c>
      <c r="E462" t="str">
        <f t="shared" si="423"/>
        <v>1Y</v>
      </c>
      <c r="F462" t="str">
        <f t="shared" si="424"/>
        <v>第１工場</v>
      </c>
      <c r="G462" t="str">
        <f t="shared" si="425"/>
        <v>手配</v>
      </c>
      <c r="H462" t="str">
        <f t="shared" si="426"/>
        <v>Ｐ</v>
      </c>
      <c r="I462" t="str">
        <f t="shared" si="411"/>
        <v>6454</v>
      </c>
      <c r="J462" t="str">
        <f t="shared" si="412"/>
        <v>（株）ムロコーポレーション</v>
      </c>
      <c r="K462" t="str">
        <f t="shared" si="410"/>
        <v>01</v>
      </c>
      <c r="L462" t="str">
        <f>""</f>
        <v/>
      </c>
      <c r="M462" t="str">
        <f t="shared" si="407"/>
        <v>――</v>
      </c>
      <c r="N462" t="str">
        <f t="shared" si="407"/>
        <v>――</v>
      </c>
      <c r="O462" t="str">
        <f t="shared" si="427"/>
        <v>Ｍ</v>
      </c>
      <c r="P462" t="str">
        <f t="shared" si="428"/>
        <v>01</v>
      </c>
      <c r="Q462" t="str">
        <f t="shared" si="429"/>
        <v>第１</v>
      </c>
      <c r="R462" t="str">
        <f t="shared" si="430"/>
        <v>1Y</v>
      </c>
      <c r="S462" t="str">
        <f t="shared" si="431"/>
        <v>安城第１工場</v>
      </c>
      <c r="T462" t="str">
        <f t="shared" si="432"/>
        <v>直接</v>
      </c>
      <c r="U462" t="str">
        <f>""</f>
        <v/>
      </c>
      <c r="V462" t="str">
        <f>""</f>
        <v/>
      </c>
      <c r="W462" t="str">
        <f>""</f>
        <v/>
      </c>
      <c r="X462">
        <v>1</v>
      </c>
      <c r="Y462">
        <v>1</v>
      </c>
      <c r="Z462">
        <v>0.73</v>
      </c>
      <c r="AA462">
        <v>0.93</v>
      </c>
      <c r="AB462">
        <v>3</v>
      </c>
      <c r="AC462">
        <v>0.93</v>
      </c>
      <c r="AD462">
        <v>0.93</v>
      </c>
      <c r="AE462">
        <v>1.1000000000000001</v>
      </c>
      <c r="AF462">
        <v>0.5</v>
      </c>
      <c r="AG462" t="str">
        <f t="shared" si="413"/>
        <v>205</v>
      </c>
      <c r="AH462" t="str">
        <f t="shared" si="414"/>
        <v>（株）ムロコーポレーション</v>
      </c>
      <c r="AI462" t="str">
        <f>"273"</f>
        <v>273</v>
      </c>
      <c r="AJ462" t="str">
        <f>"S-SM-3-1"</f>
        <v>S-SM-3-1</v>
      </c>
      <c r="AK462" t="str">
        <f>"10318"</f>
        <v>10318</v>
      </c>
      <c r="AL462" t="str">
        <f t="shared" si="436"/>
        <v>0370</v>
      </c>
      <c r="AM462" t="str">
        <f t="shared" si="437"/>
        <v>ｼﾑ</v>
      </c>
      <c r="AN462" t="str">
        <f t="shared" si="415"/>
        <v>012</v>
      </c>
      <c r="AO462" t="str">
        <f t="shared" si="416"/>
        <v>TP-131 ﾊﾝﾖｳ</v>
      </c>
      <c r="AP462">
        <v>100</v>
      </c>
      <c r="AQ462" t="str">
        <f>""</f>
        <v/>
      </c>
      <c r="AR462" t="str">
        <f>""</f>
        <v/>
      </c>
      <c r="AS462" t="str">
        <f>""</f>
        <v/>
      </c>
      <c r="AT462" t="str">
        <f t="shared" si="417"/>
        <v>00</v>
      </c>
      <c r="AU462">
        <v>0.5</v>
      </c>
      <c r="AV462" t="str">
        <f>""</f>
        <v/>
      </c>
      <c r="AW462" t="str">
        <f t="shared" si="438"/>
        <v>06</v>
      </c>
      <c r="AX462" t="str">
        <f t="shared" si="439"/>
        <v>計画</v>
      </c>
      <c r="AY462" t="str">
        <f t="shared" si="440"/>
        <v>02</v>
      </c>
      <c r="AZ462" t="str">
        <f t="shared" si="441"/>
        <v>計画・２社</v>
      </c>
      <c r="BA462" t="str">
        <f>""</f>
        <v/>
      </c>
      <c r="BB462" t="str">
        <f t="shared" si="418"/>
        <v>ＴＰ１３１フタナシ</v>
      </c>
      <c r="BC462" t="str">
        <f t="shared" si="419"/>
        <v xml:space="preserve"> 335.000</v>
      </c>
      <c r="BD462" t="str">
        <f t="shared" si="420"/>
        <v xml:space="preserve"> 168.000</v>
      </c>
      <c r="BE462" t="str">
        <f t="shared" si="421"/>
        <v xml:space="preserve"> 103.000</v>
      </c>
      <c r="BF462" t="str">
        <f t="shared" si="422"/>
        <v xml:space="preserve">   0.006</v>
      </c>
      <c r="BG462" t="str">
        <f t="shared" si="409"/>
        <v xml:space="preserve">   6.500</v>
      </c>
      <c r="BH462" t="str">
        <f t="shared" si="406"/>
        <v>しない</v>
      </c>
      <c r="BI462" t="str">
        <f>""</f>
        <v/>
      </c>
      <c r="BJ462" t="str">
        <f t="shared" si="403"/>
        <v>MASTER01</v>
      </c>
      <c r="BK462" t="str">
        <f t="shared" si="405"/>
        <v>2022/04/19</v>
      </c>
      <c r="BL462" t="str">
        <f t="shared" si="433"/>
        <v>NE00</v>
      </c>
      <c r="BM462" t="str">
        <f t="shared" si="434"/>
        <v>１工工務Ｇ</v>
      </c>
      <c r="BN462" t="str">
        <f t="shared" si="442"/>
        <v>46548</v>
      </c>
      <c r="BO462" t="str">
        <f t="shared" si="443"/>
        <v>長畑　玲奈</v>
      </c>
    </row>
    <row r="463" spans="1:67">
      <c r="A463" t="s">
        <v>545</v>
      </c>
      <c r="B463" t="str">
        <f>""</f>
        <v/>
      </c>
      <c r="C463" t="str">
        <f>""</f>
        <v/>
      </c>
      <c r="D463" t="str">
        <f t="shared" si="435"/>
        <v>SHIM</v>
      </c>
      <c r="E463" t="str">
        <f t="shared" si="423"/>
        <v>1Y</v>
      </c>
      <c r="F463" t="str">
        <f t="shared" si="424"/>
        <v>第１工場</v>
      </c>
      <c r="G463" t="str">
        <f t="shared" si="425"/>
        <v>手配</v>
      </c>
      <c r="H463" t="str">
        <f t="shared" si="426"/>
        <v>Ｐ</v>
      </c>
      <c r="I463" t="str">
        <f t="shared" si="411"/>
        <v>6454</v>
      </c>
      <c r="J463" t="str">
        <f t="shared" si="412"/>
        <v>（株）ムロコーポレーション</v>
      </c>
      <c r="K463" t="str">
        <f t="shared" si="410"/>
        <v>01</v>
      </c>
      <c r="L463" t="str">
        <f>""</f>
        <v/>
      </c>
      <c r="M463" t="str">
        <f t="shared" si="407"/>
        <v>――</v>
      </c>
      <c r="N463" t="str">
        <f t="shared" si="407"/>
        <v>――</v>
      </c>
      <c r="O463" t="str">
        <f t="shared" si="427"/>
        <v>Ｍ</v>
      </c>
      <c r="P463" t="str">
        <f t="shared" si="428"/>
        <v>01</v>
      </c>
      <c r="Q463" t="str">
        <f t="shared" si="429"/>
        <v>第１</v>
      </c>
      <c r="R463" t="str">
        <f t="shared" si="430"/>
        <v>1Y</v>
      </c>
      <c r="S463" t="str">
        <f t="shared" si="431"/>
        <v>安城第１工場</v>
      </c>
      <c r="T463" t="str">
        <f t="shared" si="432"/>
        <v>直接</v>
      </c>
      <c r="U463" t="str">
        <f>""</f>
        <v/>
      </c>
      <c r="V463" t="str">
        <f>""</f>
        <v/>
      </c>
      <c r="W463" t="str">
        <f>""</f>
        <v/>
      </c>
      <c r="X463">
        <v>1</v>
      </c>
      <c r="Y463">
        <v>1</v>
      </c>
      <c r="Z463">
        <v>0.73</v>
      </c>
      <c r="AA463">
        <v>0.93</v>
      </c>
      <c r="AB463">
        <v>3</v>
      </c>
      <c r="AC463">
        <v>0.93</v>
      </c>
      <c r="AD463">
        <v>0.93</v>
      </c>
      <c r="AE463">
        <v>1.1000000000000001</v>
      </c>
      <c r="AF463">
        <v>0.5</v>
      </c>
      <c r="AG463" t="str">
        <f t="shared" si="413"/>
        <v>205</v>
      </c>
      <c r="AH463" t="str">
        <f t="shared" si="414"/>
        <v>（株）ムロコーポレーション</v>
      </c>
      <c r="AI463" t="str">
        <f>"274"</f>
        <v>274</v>
      </c>
      <c r="AJ463" t="str">
        <f>"S-SM-3-2"</f>
        <v>S-SM-3-2</v>
      </c>
      <c r="AK463" t="str">
        <f>"10319"</f>
        <v>10319</v>
      </c>
      <c r="AL463" t="str">
        <f t="shared" si="436"/>
        <v>0370</v>
      </c>
      <c r="AM463" t="str">
        <f t="shared" si="437"/>
        <v>ｼﾑ</v>
      </c>
      <c r="AN463" t="str">
        <f t="shared" si="415"/>
        <v>012</v>
      </c>
      <c r="AO463" t="str">
        <f t="shared" si="416"/>
        <v>TP-131 ﾊﾝﾖｳ</v>
      </c>
      <c r="AP463">
        <v>100</v>
      </c>
      <c r="AQ463" t="str">
        <f>""</f>
        <v/>
      </c>
      <c r="AR463" t="str">
        <f>""</f>
        <v/>
      </c>
      <c r="AS463" t="str">
        <f>""</f>
        <v/>
      </c>
      <c r="AT463" t="str">
        <f t="shared" si="417"/>
        <v>00</v>
      </c>
      <c r="AU463">
        <v>0.5</v>
      </c>
      <c r="AV463" t="str">
        <f>""</f>
        <v/>
      </c>
      <c r="AW463" t="str">
        <f t="shared" si="438"/>
        <v>06</v>
      </c>
      <c r="AX463" t="str">
        <f t="shared" si="439"/>
        <v>計画</v>
      </c>
      <c r="AY463" t="str">
        <f t="shared" si="440"/>
        <v>02</v>
      </c>
      <c r="AZ463" t="str">
        <f t="shared" si="441"/>
        <v>計画・２社</v>
      </c>
      <c r="BA463" t="str">
        <f>""</f>
        <v/>
      </c>
      <c r="BB463" t="str">
        <f t="shared" si="418"/>
        <v>ＴＰ１３１フタナシ</v>
      </c>
      <c r="BC463" t="str">
        <f t="shared" si="419"/>
        <v xml:space="preserve"> 335.000</v>
      </c>
      <c r="BD463" t="str">
        <f t="shared" si="420"/>
        <v xml:space="preserve"> 168.000</v>
      </c>
      <c r="BE463" t="str">
        <f t="shared" si="421"/>
        <v xml:space="preserve"> 103.000</v>
      </c>
      <c r="BF463" t="str">
        <f t="shared" si="422"/>
        <v xml:space="preserve">   0.006</v>
      </c>
      <c r="BG463" t="str">
        <f t="shared" si="409"/>
        <v xml:space="preserve">   6.500</v>
      </c>
      <c r="BH463" t="str">
        <f t="shared" si="406"/>
        <v>しない</v>
      </c>
      <c r="BI463" t="str">
        <f>""</f>
        <v/>
      </c>
      <c r="BJ463" t="str">
        <f t="shared" si="403"/>
        <v>MASTER01</v>
      </c>
      <c r="BK463" t="str">
        <f t="shared" si="405"/>
        <v>2022/04/19</v>
      </c>
      <c r="BL463" t="str">
        <f t="shared" si="433"/>
        <v>NE00</v>
      </c>
      <c r="BM463" t="str">
        <f t="shared" si="434"/>
        <v>１工工務Ｇ</v>
      </c>
      <c r="BN463" t="str">
        <f t="shared" si="442"/>
        <v>46548</v>
      </c>
      <c r="BO463" t="str">
        <f t="shared" si="443"/>
        <v>長畑　玲奈</v>
      </c>
    </row>
    <row r="464" spans="1:67">
      <c r="A464" t="s">
        <v>546</v>
      </c>
      <c r="B464" t="str">
        <f>""</f>
        <v/>
      </c>
      <c r="C464" t="str">
        <f>""</f>
        <v/>
      </c>
      <c r="D464" t="str">
        <f t="shared" si="435"/>
        <v>SHIM</v>
      </c>
      <c r="E464" t="str">
        <f t="shared" si="423"/>
        <v>1Y</v>
      </c>
      <c r="F464" t="str">
        <f t="shared" si="424"/>
        <v>第１工場</v>
      </c>
      <c r="G464" t="str">
        <f t="shared" si="425"/>
        <v>手配</v>
      </c>
      <c r="H464" t="str">
        <f t="shared" si="426"/>
        <v>Ｐ</v>
      </c>
      <c r="I464" t="str">
        <f t="shared" si="411"/>
        <v>6454</v>
      </c>
      <c r="J464" t="str">
        <f t="shared" si="412"/>
        <v>（株）ムロコーポレーション</v>
      </c>
      <c r="K464" t="str">
        <f t="shared" si="410"/>
        <v>01</v>
      </c>
      <c r="L464" t="str">
        <f>""</f>
        <v/>
      </c>
      <c r="M464" t="str">
        <f t="shared" si="407"/>
        <v>――</v>
      </c>
      <c r="N464" t="str">
        <f t="shared" si="407"/>
        <v>――</v>
      </c>
      <c r="O464" t="str">
        <f t="shared" si="427"/>
        <v>Ｍ</v>
      </c>
      <c r="P464" t="str">
        <f t="shared" si="428"/>
        <v>01</v>
      </c>
      <c r="Q464" t="str">
        <f t="shared" si="429"/>
        <v>第１</v>
      </c>
      <c r="R464" t="str">
        <f t="shared" si="430"/>
        <v>1Y</v>
      </c>
      <c r="S464" t="str">
        <f t="shared" si="431"/>
        <v>安城第１工場</v>
      </c>
      <c r="T464" t="str">
        <f t="shared" si="432"/>
        <v>直接</v>
      </c>
      <c r="U464" t="str">
        <f>""</f>
        <v/>
      </c>
      <c r="V464" t="str">
        <f>""</f>
        <v/>
      </c>
      <c r="W464" t="str">
        <f>""</f>
        <v/>
      </c>
      <c r="X464">
        <v>1</v>
      </c>
      <c r="Y464">
        <v>1</v>
      </c>
      <c r="Z464">
        <v>0.73</v>
      </c>
      <c r="AA464">
        <v>0.93</v>
      </c>
      <c r="AB464">
        <v>3</v>
      </c>
      <c r="AC464">
        <v>0.93</v>
      </c>
      <c r="AD464">
        <v>0.93</v>
      </c>
      <c r="AE464">
        <v>1.1000000000000001</v>
      </c>
      <c r="AF464">
        <v>0.5</v>
      </c>
      <c r="AG464" t="str">
        <f t="shared" si="413"/>
        <v>205</v>
      </c>
      <c r="AH464" t="str">
        <f t="shared" si="414"/>
        <v>（株）ムロコーポレーション</v>
      </c>
      <c r="AI464" t="str">
        <f>"275"</f>
        <v>275</v>
      </c>
      <c r="AJ464" t="str">
        <f>"S-SM-3-3"</f>
        <v>S-SM-3-3</v>
      </c>
      <c r="AK464" t="str">
        <f>"10320"</f>
        <v>10320</v>
      </c>
      <c r="AL464" t="str">
        <f t="shared" si="436"/>
        <v>0370</v>
      </c>
      <c r="AM464" t="str">
        <f t="shared" si="437"/>
        <v>ｼﾑ</v>
      </c>
      <c r="AN464" t="str">
        <f t="shared" si="415"/>
        <v>012</v>
      </c>
      <c r="AO464" t="str">
        <f t="shared" si="416"/>
        <v>TP-131 ﾊﾝﾖｳ</v>
      </c>
      <c r="AP464">
        <v>100</v>
      </c>
      <c r="AQ464" t="str">
        <f>""</f>
        <v/>
      </c>
      <c r="AR464" t="str">
        <f>""</f>
        <v/>
      </c>
      <c r="AS464" t="str">
        <f>""</f>
        <v/>
      </c>
      <c r="AT464" t="str">
        <f t="shared" si="417"/>
        <v>00</v>
      </c>
      <c r="AU464">
        <v>0.5</v>
      </c>
      <c r="AV464" t="str">
        <f>""</f>
        <v/>
      </c>
      <c r="AW464" t="str">
        <f t="shared" si="438"/>
        <v>06</v>
      </c>
      <c r="AX464" t="str">
        <f t="shared" si="439"/>
        <v>計画</v>
      </c>
      <c r="AY464" t="str">
        <f t="shared" si="440"/>
        <v>02</v>
      </c>
      <c r="AZ464" t="str">
        <f t="shared" si="441"/>
        <v>計画・２社</v>
      </c>
      <c r="BA464" t="str">
        <f>""</f>
        <v/>
      </c>
      <c r="BB464" t="str">
        <f t="shared" si="418"/>
        <v>ＴＰ１３１フタナシ</v>
      </c>
      <c r="BC464" t="str">
        <f t="shared" si="419"/>
        <v xml:space="preserve"> 335.000</v>
      </c>
      <c r="BD464" t="str">
        <f t="shared" si="420"/>
        <v xml:space="preserve"> 168.000</v>
      </c>
      <c r="BE464" t="str">
        <f t="shared" si="421"/>
        <v xml:space="preserve"> 103.000</v>
      </c>
      <c r="BF464" t="str">
        <f t="shared" si="422"/>
        <v xml:space="preserve">   0.006</v>
      </c>
      <c r="BG464" t="str">
        <f t="shared" si="409"/>
        <v xml:space="preserve">   6.500</v>
      </c>
      <c r="BH464" t="str">
        <f t="shared" si="406"/>
        <v>しない</v>
      </c>
      <c r="BI464" t="str">
        <f>""</f>
        <v/>
      </c>
      <c r="BJ464" t="str">
        <f t="shared" si="403"/>
        <v>MASTER01</v>
      </c>
      <c r="BK464" t="str">
        <f t="shared" si="405"/>
        <v>2022/04/19</v>
      </c>
      <c r="BL464" t="str">
        <f t="shared" si="433"/>
        <v>NE00</v>
      </c>
      <c r="BM464" t="str">
        <f t="shared" si="434"/>
        <v>１工工務Ｇ</v>
      </c>
      <c r="BN464" t="str">
        <f t="shared" si="442"/>
        <v>46548</v>
      </c>
      <c r="BO464" t="str">
        <f t="shared" si="443"/>
        <v>長畑　玲奈</v>
      </c>
    </row>
    <row r="465" spans="1:67">
      <c r="A465" t="s">
        <v>547</v>
      </c>
      <c r="B465" t="str">
        <f>""</f>
        <v/>
      </c>
      <c r="C465" t="str">
        <f>""</f>
        <v/>
      </c>
      <c r="D465" t="str">
        <f t="shared" si="435"/>
        <v>SHIM</v>
      </c>
      <c r="E465" t="str">
        <f t="shared" si="423"/>
        <v>1Y</v>
      </c>
      <c r="F465" t="str">
        <f t="shared" si="424"/>
        <v>第１工場</v>
      </c>
      <c r="G465" t="str">
        <f t="shared" si="425"/>
        <v>手配</v>
      </c>
      <c r="H465" t="str">
        <f t="shared" si="426"/>
        <v>Ｐ</v>
      </c>
      <c r="I465" t="str">
        <f t="shared" si="411"/>
        <v>6454</v>
      </c>
      <c r="J465" t="str">
        <f t="shared" si="412"/>
        <v>（株）ムロコーポレーション</v>
      </c>
      <c r="K465" t="str">
        <f t="shared" si="410"/>
        <v>01</v>
      </c>
      <c r="L465" t="str">
        <f>""</f>
        <v/>
      </c>
      <c r="M465" t="str">
        <f t="shared" si="407"/>
        <v>――</v>
      </c>
      <c r="N465" t="str">
        <f t="shared" si="407"/>
        <v>――</v>
      </c>
      <c r="O465" t="str">
        <f t="shared" si="427"/>
        <v>Ｍ</v>
      </c>
      <c r="P465" t="str">
        <f t="shared" si="428"/>
        <v>01</v>
      </c>
      <c r="Q465" t="str">
        <f t="shared" si="429"/>
        <v>第１</v>
      </c>
      <c r="R465" t="str">
        <f t="shared" si="430"/>
        <v>1Y</v>
      </c>
      <c r="S465" t="str">
        <f t="shared" si="431"/>
        <v>安城第１工場</v>
      </c>
      <c r="T465" t="str">
        <f t="shared" si="432"/>
        <v>直接</v>
      </c>
      <c r="U465" t="str">
        <f>""</f>
        <v/>
      </c>
      <c r="V465" t="str">
        <f>""</f>
        <v/>
      </c>
      <c r="W465" t="str">
        <f>""</f>
        <v/>
      </c>
      <c r="X465">
        <v>1</v>
      </c>
      <c r="Y465">
        <v>1</v>
      </c>
      <c r="Z465">
        <v>0.73</v>
      </c>
      <c r="AA465">
        <v>0.93</v>
      </c>
      <c r="AB465">
        <v>3</v>
      </c>
      <c r="AC465">
        <v>0.93</v>
      </c>
      <c r="AD465">
        <v>0.93</v>
      </c>
      <c r="AE465">
        <v>1.1000000000000001</v>
      </c>
      <c r="AF465">
        <v>0.5</v>
      </c>
      <c r="AG465" t="str">
        <f t="shared" si="413"/>
        <v>205</v>
      </c>
      <c r="AH465" t="str">
        <f t="shared" si="414"/>
        <v>（株）ムロコーポレーション</v>
      </c>
      <c r="AI465" t="str">
        <f>"276"</f>
        <v>276</v>
      </c>
      <c r="AJ465" t="str">
        <f>"S-SM-3-4"</f>
        <v>S-SM-3-4</v>
      </c>
      <c r="AK465" t="str">
        <f>"10321"</f>
        <v>10321</v>
      </c>
      <c r="AL465" t="str">
        <f t="shared" si="436"/>
        <v>0370</v>
      </c>
      <c r="AM465" t="str">
        <f t="shared" si="437"/>
        <v>ｼﾑ</v>
      </c>
      <c r="AN465" t="str">
        <f t="shared" si="415"/>
        <v>012</v>
      </c>
      <c r="AO465" t="str">
        <f t="shared" si="416"/>
        <v>TP-131 ﾊﾝﾖｳ</v>
      </c>
      <c r="AP465">
        <v>100</v>
      </c>
      <c r="AQ465" t="str">
        <f>""</f>
        <v/>
      </c>
      <c r="AR465" t="str">
        <f>""</f>
        <v/>
      </c>
      <c r="AS465" t="str">
        <f>""</f>
        <v/>
      </c>
      <c r="AT465" t="str">
        <f t="shared" si="417"/>
        <v>00</v>
      </c>
      <c r="AU465">
        <v>0.5</v>
      </c>
      <c r="AV465" t="str">
        <f>""</f>
        <v/>
      </c>
      <c r="AW465" t="str">
        <f t="shared" si="438"/>
        <v>06</v>
      </c>
      <c r="AX465" t="str">
        <f t="shared" si="439"/>
        <v>計画</v>
      </c>
      <c r="AY465" t="str">
        <f t="shared" si="440"/>
        <v>02</v>
      </c>
      <c r="AZ465" t="str">
        <f t="shared" si="441"/>
        <v>計画・２社</v>
      </c>
      <c r="BA465" t="str">
        <f>""</f>
        <v/>
      </c>
      <c r="BB465" t="str">
        <f t="shared" si="418"/>
        <v>ＴＰ１３１フタナシ</v>
      </c>
      <c r="BC465" t="str">
        <f t="shared" si="419"/>
        <v xml:space="preserve"> 335.000</v>
      </c>
      <c r="BD465" t="str">
        <f t="shared" si="420"/>
        <v xml:space="preserve"> 168.000</v>
      </c>
      <c r="BE465" t="str">
        <f t="shared" si="421"/>
        <v xml:space="preserve"> 103.000</v>
      </c>
      <c r="BF465" t="str">
        <f t="shared" si="422"/>
        <v xml:space="preserve">   0.006</v>
      </c>
      <c r="BG465" t="str">
        <f t="shared" si="409"/>
        <v xml:space="preserve">   6.500</v>
      </c>
      <c r="BH465" t="str">
        <f t="shared" si="406"/>
        <v>しない</v>
      </c>
      <c r="BI465" t="str">
        <f>""</f>
        <v/>
      </c>
      <c r="BJ465" t="str">
        <f t="shared" si="403"/>
        <v>MASTER01</v>
      </c>
      <c r="BK465" t="str">
        <f t="shared" si="405"/>
        <v>2022/04/19</v>
      </c>
      <c r="BL465" t="str">
        <f t="shared" si="433"/>
        <v>NE00</v>
      </c>
      <c r="BM465" t="str">
        <f t="shared" si="434"/>
        <v>１工工務Ｇ</v>
      </c>
      <c r="BN465" t="str">
        <f t="shared" si="442"/>
        <v>46548</v>
      </c>
      <c r="BO465" t="str">
        <f t="shared" si="443"/>
        <v>長畑　玲奈</v>
      </c>
    </row>
    <row r="466" spans="1:67">
      <c r="A466" t="s">
        <v>548</v>
      </c>
      <c r="B466" t="str">
        <f>""</f>
        <v/>
      </c>
      <c r="C466" t="str">
        <f>""</f>
        <v/>
      </c>
      <c r="D466" t="str">
        <f t="shared" si="435"/>
        <v>SHIM</v>
      </c>
      <c r="E466" t="str">
        <f t="shared" si="423"/>
        <v>1Y</v>
      </c>
      <c r="F466" t="str">
        <f t="shared" si="424"/>
        <v>第１工場</v>
      </c>
      <c r="G466" t="str">
        <f t="shared" si="425"/>
        <v>手配</v>
      </c>
      <c r="H466" t="str">
        <f t="shared" si="426"/>
        <v>Ｐ</v>
      </c>
      <c r="I466" t="str">
        <f t="shared" si="411"/>
        <v>6454</v>
      </c>
      <c r="J466" t="str">
        <f t="shared" si="412"/>
        <v>（株）ムロコーポレーション</v>
      </c>
      <c r="K466" t="str">
        <f t="shared" si="410"/>
        <v>01</v>
      </c>
      <c r="L466" t="str">
        <f>""</f>
        <v/>
      </c>
      <c r="M466" t="str">
        <f t="shared" si="407"/>
        <v>――</v>
      </c>
      <c r="N466" t="str">
        <f t="shared" si="407"/>
        <v>――</v>
      </c>
      <c r="O466" t="str">
        <f t="shared" si="427"/>
        <v>Ｍ</v>
      </c>
      <c r="P466" t="str">
        <f t="shared" si="428"/>
        <v>01</v>
      </c>
      <c r="Q466" t="str">
        <f t="shared" si="429"/>
        <v>第１</v>
      </c>
      <c r="R466" t="str">
        <f t="shared" si="430"/>
        <v>1Y</v>
      </c>
      <c r="S466" t="str">
        <f t="shared" si="431"/>
        <v>安城第１工場</v>
      </c>
      <c r="T466" t="str">
        <f t="shared" si="432"/>
        <v>直接</v>
      </c>
      <c r="U466" t="str">
        <f>""</f>
        <v/>
      </c>
      <c r="V466" t="str">
        <f>""</f>
        <v/>
      </c>
      <c r="W466" t="str">
        <f>""</f>
        <v/>
      </c>
      <c r="X466">
        <v>1</v>
      </c>
      <c r="Y466">
        <v>1</v>
      </c>
      <c r="Z466">
        <v>0.73</v>
      </c>
      <c r="AA466">
        <v>0.93</v>
      </c>
      <c r="AB466">
        <v>3</v>
      </c>
      <c r="AC466">
        <v>0.93</v>
      </c>
      <c r="AD466">
        <v>0.93</v>
      </c>
      <c r="AE466">
        <v>1.1000000000000001</v>
      </c>
      <c r="AF466">
        <v>0.5</v>
      </c>
      <c r="AG466" t="str">
        <f t="shared" si="413"/>
        <v>205</v>
      </c>
      <c r="AH466" t="str">
        <f t="shared" si="414"/>
        <v>（株）ムロコーポレーション</v>
      </c>
      <c r="AI466" t="str">
        <f>"277"</f>
        <v>277</v>
      </c>
      <c r="AJ466" t="str">
        <f>"S-SM-3-5"</f>
        <v>S-SM-3-5</v>
      </c>
      <c r="AK466" t="str">
        <f>"10322"</f>
        <v>10322</v>
      </c>
      <c r="AL466" t="str">
        <f t="shared" si="436"/>
        <v>0370</v>
      </c>
      <c r="AM466" t="str">
        <f t="shared" si="437"/>
        <v>ｼﾑ</v>
      </c>
      <c r="AN466" t="str">
        <f t="shared" si="415"/>
        <v>012</v>
      </c>
      <c r="AO466" t="str">
        <f t="shared" si="416"/>
        <v>TP-131 ﾊﾝﾖｳ</v>
      </c>
      <c r="AP466">
        <v>100</v>
      </c>
      <c r="AQ466" t="str">
        <f>""</f>
        <v/>
      </c>
      <c r="AR466" t="str">
        <f>""</f>
        <v/>
      </c>
      <c r="AS466" t="str">
        <f>""</f>
        <v/>
      </c>
      <c r="AT466" t="str">
        <f t="shared" si="417"/>
        <v>00</v>
      </c>
      <c r="AU466">
        <v>0.5</v>
      </c>
      <c r="AV466" t="str">
        <f>""</f>
        <v/>
      </c>
      <c r="AW466" t="str">
        <f t="shared" si="438"/>
        <v>06</v>
      </c>
      <c r="AX466" t="str">
        <f t="shared" si="439"/>
        <v>計画</v>
      </c>
      <c r="AY466" t="str">
        <f t="shared" si="440"/>
        <v>02</v>
      </c>
      <c r="AZ466" t="str">
        <f t="shared" si="441"/>
        <v>計画・２社</v>
      </c>
      <c r="BA466" t="str">
        <f>""</f>
        <v/>
      </c>
      <c r="BB466" t="str">
        <f t="shared" si="418"/>
        <v>ＴＰ１３１フタナシ</v>
      </c>
      <c r="BC466" t="str">
        <f t="shared" si="419"/>
        <v xml:space="preserve"> 335.000</v>
      </c>
      <c r="BD466" t="str">
        <f t="shared" si="420"/>
        <v xml:space="preserve"> 168.000</v>
      </c>
      <c r="BE466" t="str">
        <f t="shared" si="421"/>
        <v xml:space="preserve"> 103.000</v>
      </c>
      <c r="BF466" t="str">
        <f t="shared" si="422"/>
        <v xml:space="preserve">   0.006</v>
      </c>
      <c r="BG466" t="str">
        <f t="shared" si="409"/>
        <v xml:space="preserve">   6.500</v>
      </c>
      <c r="BH466" t="str">
        <f t="shared" si="406"/>
        <v>しない</v>
      </c>
      <c r="BI466" t="str">
        <f>""</f>
        <v/>
      </c>
      <c r="BJ466" t="str">
        <f t="shared" si="403"/>
        <v>MASTER01</v>
      </c>
      <c r="BK466" t="str">
        <f t="shared" si="405"/>
        <v>2022/04/19</v>
      </c>
      <c r="BL466" t="str">
        <f t="shared" si="433"/>
        <v>NE00</v>
      </c>
      <c r="BM466" t="str">
        <f t="shared" si="434"/>
        <v>１工工務Ｇ</v>
      </c>
      <c r="BN466" t="str">
        <f t="shared" si="442"/>
        <v>46548</v>
      </c>
      <c r="BO466" t="str">
        <f t="shared" si="443"/>
        <v>長畑　玲奈</v>
      </c>
    </row>
    <row r="467" spans="1:67">
      <c r="A467" t="s">
        <v>549</v>
      </c>
      <c r="B467" t="str">
        <f>""</f>
        <v/>
      </c>
      <c r="C467" t="str">
        <f>""</f>
        <v/>
      </c>
      <c r="D467" t="str">
        <f t="shared" si="435"/>
        <v>SHIM</v>
      </c>
      <c r="E467" t="str">
        <f t="shared" si="423"/>
        <v>1Y</v>
      </c>
      <c r="F467" t="str">
        <f t="shared" si="424"/>
        <v>第１工場</v>
      </c>
      <c r="G467" t="str">
        <f t="shared" si="425"/>
        <v>手配</v>
      </c>
      <c r="H467" t="str">
        <f t="shared" si="426"/>
        <v>Ｐ</v>
      </c>
      <c r="I467" t="str">
        <f t="shared" si="411"/>
        <v>6454</v>
      </c>
      <c r="J467" t="str">
        <f t="shared" si="412"/>
        <v>（株）ムロコーポレーション</v>
      </c>
      <c r="K467" t="str">
        <f t="shared" si="410"/>
        <v>01</v>
      </c>
      <c r="L467" t="str">
        <f>""</f>
        <v/>
      </c>
      <c r="M467" t="str">
        <f t="shared" si="407"/>
        <v>――</v>
      </c>
      <c r="N467" t="str">
        <f t="shared" si="407"/>
        <v>――</v>
      </c>
      <c r="O467" t="str">
        <f t="shared" si="427"/>
        <v>Ｍ</v>
      </c>
      <c r="P467" t="str">
        <f t="shared" si="428"/>
        <v>01</v>
      </c>
      <c r="Q467" t="str">
        <f t="shared" si="429"/>
        <v>第１</v>
      </c>
      <c r="R467" t="str">
        <f t="shared" si="430"/>
        <v>1Y</v>
      </c>
      <c r="S467" t="str">
        <f t="shared" si="431"/>
        <v>安城第１工場</v>
      </c>
      <c r="T467" t="str">
        <f t="shared" si="432"/>
        <v>直接</v>
      </c>
      <c r="U467" t="str">
        <f>""</f>
        <v/>
      </c>
      <c r="V467" t="str">
        <f>""</f>
        <v/>
      </c>
      <c r="W467" t="str">
        <f>""</f>
        <v/>
      </c>
      <c r="X467">
        <v>1</v>
      </c>
      <c r="Y467">
        <v>1</v>
      </c>
      <c r="Z467">
        <v>0.73</v>
      </c>
      <c r="AA467">
        <v>0.93</v>
      </c>
      <c r="AB467">
        <v>3</v>
      </c>
      <c r="AC467">
        <v>0.93</v>
      </c>
      <c r="AD467">
        <v>0.93</v>
      </c>
      <c r="AE467">
        <v>1.1000000000000001</v>
      </c>
      <c r="AF467">
        <v>0.5</v>
      </c>
      <c r="AG467" t="str">
        <f t="shared" si="413"/>
        <v>205</v>
      </c>
      <c r="AH467" t="str">
        <f t="shared" si="414"/>
        <v>（株）ムロコーポレーション</v>
      </c>
      <c r="AI467" t="str">
        <f>"278"</f>
        <v>278</v>
      </c>
      <c r="AJ467" t="str">
        <f>"S-SM-3-6"</f>
        <v>S-SM-3-6</v>
      </c>
      <c r="AK467" t="str">
        <f>"10323"</f>
        <v>10323</v>
      </c>
      <c r="AL467" t="str">
        <f t="shared" si="436"/>
        <v>0370</v>
      </c>
      <c r="AM467" t="str">
        <f t="shared" si="437"/>
        <v>ｼﾑ</v>
      </c>
      <c r="AN467" t="str">
        <f t="shared" si="415"/>
        <v>012</v>
      </c>
      <c r="AO467" t="str">
        <f t="shared" si="416"/>
        <v>TP-131 ﾊﾝﾖｳ</v>
      </c>
      <c r="AP467">
        <v>100</v>
      </c>
      <c r="AQ467" t="str">
        <f>""</f>
        <v/>
      </c>
      <c r="AR467" t="str">
        <f>""</f>
        <v/>
      </c>
      <c r="AS467" t="str">
        <f>""</f>
        <v/>
      </c>
      <c r="AT467" t="str">
        <f t="shared" si="417"/>
        <v>00</v>
      </c>
      <c r="AU467">
        <v>0.5</v>
      </c>
      <c r="AV467" t="str">
        <f>""</f>
        <v/>
      </c>
      <c r="AW467" t="str">
        <f t="shared" si="438"/>
        <v>06</v>
      </c>
      <c r="AX467" t="str">
        <f t="shared" si="439"/>
        <v>計画</v>
      </c>
      <c r="AY467" t="str">
        <f t="shared" si="440"/>
        <v>02</v>
      </c>
      <c r="AZ467" t="str">
        <f t="shared" si="441"/>
        <v>計画・２社</v>
      </c>
      <c r="BA467" t="str">
        <f>""</f>
        <v/>
      </c>
      <c r="BB467" t="str">
        <f t="shared" si="418"/>
        <v>ＴＰ１３１フタナシ</v>
      </c>
      <c r="BC467" t="str">
        <f t="shared" si="419"/>
        <v xml:space="preserve"> 335.000</v>
      </c>
      <c r="BD467" t="str">
        <f t="shared" si="420"/>
        <v xml:space="preserve"> 168.000</v>
      </c>
      <c r="BE467" t="str">
        <f t="shared" si="421"/>
        <v xml:space="preserve"> 103.000</v>
      </c>
      <c r="BF467" t="str">
        <f t="shared" si="422"/>
        <v xml:space="preserve">   0.006</v>
      </c>
      <c r="BG467" t="str">
        <f t="shared" ref="BG467:BG475" si="444">"   7.430"</f>
        <v xml:space="preserve">   7.430</v>
      </c>
      <c r="BH467" t="str">
        <f t="shared" si="406"/>
        <v>しない</v>
      </c>
      <c r="BI467" t="str">
        <f>""</f>
        <v/>
      </c>
      <c r="BJ467" t="str">
        <f t="shared" ref="BJ467:BJ518" si="445">"MASTER01"</f>
        <v>MASTER01</v>
      </c>
      <c r="BK467" t="str">
        <f t="shared" si="405"/>
        <v>2022/04/19</v>
      </c>
      <c r="BL467" t="str">
        <f t="shared" si="433"/>
        <v>NE00</v>
      </c>
      <c r="BM467" t="str">
        <f t="shared" si="434"/>
        <v>１工工務Ｇ</v>
      </c>
      <c r="BN467" t="str">
        <f t="shared" si="442"/>
        <v>46548</v>
      </c>
      <c r="BO467" t="str">
        <f t="shared" si="443"/>
        <v>長畑　玲奈</v>
      </c>
    </row>
    <row r="468" spans="1:67">
      <c r="A468" t="s">
        <v>550</v>
      </c>
      <c r="B468" t="str">
        <f>""</f>
        <v/>
      </c>
      <c r="C468" t="str">
        <f>""</f>
        <v/>
      </c>
      <c r="D468" t="str">
        <f t="shared" si="435"/>
        <v>SHIM</v>
      </c>
      <c r="E468" t="str">
        <f t="shared" si="423"/>
        <v>1Y</v>
      </c>
      <c r="F468" t="str">
        <f t="shared" si="424"/>
        <v>第１工場</v>
      </c>
      <c r="G468" t="str">
        <f t="shared" si="425"/>
        <v>手配</v>
      </c>
      <c r="H468" t="str">
        <f t="shared" si="426"/>
        <v>Ｐ</v>
      </c>
      <c r="I468" t="str">
        <f t="shared" si="411"/>
        <v>6454</v>
      </c>
      <c r="J468" t="str">
        <f t="shared" si="412"/>
        <v>（株）ムロコーポレーション</v>
      </c>
      <c r="K468" t="str">
        <f t="shared" si="410"/>
        <v>01</v>
      </c>
      <c r="L468" t="str">
        <f>""</f>
        <v/>
      </c>
      <c r="M468" t="str">
        <f t="shared" si="407"/>
        <v>――</v>
      </c>
      <c r="N468" t="str">
        <f t="shared" si="407"/>
        <v>――</v>
      </c>
      <c r="O468" t="str">
        <f t="shared" si="427"/>
        <v>Ｍ</v>
      </c>
      <c r="P468" t="str">
        <f t="shared" si="428"/>
        <v>01</v>
      </c>
      <c r="Q468" t="str">
        <f t="shared" si="429"/>
        <v>第１</v>
      </c>
      <c r="R468" t="str">
        <f t="shared" si="430"/>
        <v>1Y</v>
      </c>
      <c r="S468" t="str">
        <f t="shared" si="431"/>
        <v>安城第１工場</v>
      </c>
      <c r="T468" t="str">
        <f t="shared" si="432"/>
        <v>直接</v>
      </c>
      <c r="U468" t="str">
        <f>""</f>
        <v/>
      </c>
      <c r="V468" t="str">
        <f>""</f>
        <v/>
      </c>
      <c r="W468" t="str">
        <f>""</f>
        <v/>
      </c>
      <c r="X468">
        <v>1</v>
      </c>
      <c r="Y468">
        <v>1</v>
      </c>
      <c r="Z468">
        <v>0.73</v>
      </c>
      <c r="AA468">
        <v>0.93</v>
      </c>
      <c r="AB468">
        <v>3</v>
      </c>
      <c r="AC468">
        <v>0.93</v>
      </c>
      <c r="AD468">
        <v>0.93</v>
      </c>
      <c r="AE468">
        <v>1.1000000000000001</v>
      </c>
      <c r="AF468">
        <v>0.5</v>
      </c>
      <c r="AG468" t="str">
        <f t="shared" si="413"/>
        <v>205</v>
      </c>
      <c r="AH468" t="str">
        <f t="shared" si="414"/>
        <v>（株）ムロコーポレーション</v>
      </c>
      <c r="AI468" t="str">
        <f>"279"</f>
        <v>279</v>
      </c>
      <c r="AJ468" t="str">
        <f>"S-SM-3-7"</f>
        <v>S-SM-3-7</v>
      </c>
      <c r="AK468" t="str">
        <f>"10324"</f>
        <v>10324</v>
      </c>
      <c r="AL468" t="str">
        <f t="shared" si="436"/>
        <v>0370</v>
      </c>
      <c r="AM468" t="str">
        <f t="shared" si="437"/>
        <v>ｼﾑ</v>
      </c>
      <c r="AN468" t="str">
        <f t="shared" si="415"/>
        <v>012</v>
      </c>
      <c r="AO468" t="str">
        <f t="shared" si="416"/>
        <v>TP-131 ﾊﾝﾖｳ</v>
      </c>
      <c r="AP468">
        <v>100</v>
      </c>
      <c r="AQ468" t="str">
        <f>""</f>
        <v/>
      </c>
      <c r="AR468" t="str">
        <f>""</f>
        <v/>
      </c>
      <c r="AS468" t="str">
        <f>""</f>
        <v/>
      </c>
      <c r="AT468" t="str">
        <f t="shared" si="417"/>
        <v>00</v>
      </c>
      <c r="AU468">
        <v>0.5</v>
      </c>
      <c r="AV468" t="str">
        <f>""</f>
        <v/>
      </c>
      <c r="AW468" t="str">
        <f t="shared" si="438"/>
        <v>06</v>
      </c>
      <c r="AX468" t="str">
        <f t="shared" si="439"/>
        <v>計画</v>
      </c>
      <c r="AY468" t="str">
        <f t="shared" si="440"/>
        <v>02</v>
      </c>
      <c r="AZ468" t="str">
        <f t="shared" si="441"/>
        <v>計画・２社</v>
      </c>
      <c r="BA468" t="str">
        <f>""</f>
        <v/>
      </c>
      <c r="BB468" t="str">
        <f t="shared" si="418"/>
        <v>ＴＰ１３１フタナシ</v>
      </c>
      <c r="BC468" t="str">
        <f t="shared" si="419"/>
        <v xml:space="preserve"> 335.000</v>
      </c>
      <c r="BD468" t="str">
        <f t="shared" si="420"/>
        <v xml:space="preserve"> 168.000</v>
      </c>
      <c r="BE468" t="str">
        <f t="shared" si="421"/>
        <v xml:space="preserve"> 103.000</v>
      </c>
      <c r="BF468" t="str">
        <f t="shared" si="422"/>
        <v xml:space="preserve">   0.006</v>
      </c>
      <c r="BG468" t="str">
        <f t="shared" si="444"/>
        <v xml:space="preserve">   7.430</v>
      </c>
      <c r="BH468" t="str">
        <f t="shared" si="406"/>
        <v>しない</v>
      </c>
      <c r="BI468" t="str">
        <f>""</f>
        <v/>
      </c>
      <c r="BJ468" t="str">
        <f t="shared" si="445"/>
        <v>MASTER01</v>
      </c>
      <c r="BK468" t="str">
        <f t="shared" si="405"/>
        <v>2022/04/19</v>
      </c>
      <c r="BL468" t="str">
        <f t="shared" si="433"/>
        <v>NE00</v>
      </c>
      <c r="BM468" t="str">
        <f t="shared" si="434"/>
        <v>１工工務Ｇ</v>
      </c>
      <c r="BN468" t="str">
        <f t="shared" si="442"/>
        <v>46548</v>
      </c>
      <c r="BO468" t="str">
        <f t="shared" si="443"/>
        <v>長畑　玲奈</v>
      </c>
    </row>
    <row r="469" spans="1:67">
      <c r="A469" t="s">
        <v>551</v>
      </c>
      <c r="B469" t="str">
        <f>""</f>
        <v/>
      </c>
      <c r="C469" t="str">
        <f>""</f>
        <v/>
      </c>
      <c r="D469" t="str">
        <f t="shared" si="435"/>
        <v>SHIM</v>
      </c>
      <c r="E469" t="str">
        <f t="shared" si="423"/>
        <v>1Y</v>
      </c>
      <c r="F469" t="str">
        <f t="shared" si="424"/>
        <v>第１工場</v>
      </c>
      <c r="G469" t="str">
        <f t="shared" si="425"/>
        <v>手配</v>
      </c>
      <c r="H469" t="str">
        <f t="shared" si="426"/>
        <v>Ｐ</v>
      </c>
      <c r="I469" t="str">
        <f t="shared" si="411"/>
        <v>6454</v>
      </c>
      <c r="J469" t="str">
        <f t="shared" si="412"/>
        <v>（株）ムロコーポレーション</v>
      </c>
      <c r="K469" t="str">
        <f t="shared" si="410"/>
        <v>01</v>
      </c>
      <c r="L469" t="str">
        <f>""</f>
        <v/>
      </c>
      <c r="M469" t="str">
        <f t="shared" si="407"/>
        <v>――</v>
      </c>
      <c r="N469" t="str">
        <f t="shared" si="407"/>
        <v>――</v>
      </c>
      <c r="O469" t="str">
        <f t="shared" si="427"/>
        <v>Ｍ</v>
      </c>
      <c r="P469" t="str">
        <f t="shared" si="428"/>
        <v>01</v>
      </c>
      <c r="Q469" t="str">
        <f t="shared" si="429"/>
        <v>第１</v>
      </c>
      <c r="R469" t="str">
        <f t="shared" si="430"/>
        <v>1Y</v>
      </c>
      <c r="S469" t="str">
        <f t="shared" si="431"/>
        <v>安城第１工場</v>
      </c>
      <c r="T469" t="str">
        <f t="shared" si="432"/>
        <v>直接</v>
      </c>
      <c r="U469" t="str">
        <f>""</f>
        <v/>
      </c>
      <c r="V469" t="str">
        <f>""</f>
        <v/>
      </c>
      <c r="W469" t="str">
        <f>""</f>
        <v/>
      </c>
      <c r="X469">
        <v>1</v>
      </c>
      <c r="Y469">
        <v>1</v>
      </c>
      <c r="Z469">
        <v>0.73</v>
      </c>
      <c r="AA469">
        <v>0.93</v>
      </c>
      <c r="AB469">
        <v>3</v>
      </c>
      <c r="AC469">
        <v>0.93</v>
      </c>
      <c r="AD469">
        <v>0.93</v>
      </c>
      <c r="AE469">
        <v>1.1000000000000001</v>
      </c>
      <c r="AF469">
        <v>0.5</v>
      </c>
      <c r="AG469" t="str">
        <f t="shared" si="413"/>
        <v>205</v>
      </c>
      <c r="AH469" t="str">
        <f t="shared" si="414"/>
        <v>（株）ムロコーポレーション</v>
      </c>
      <c r="AI469" t="str">
        <f>"280"</f>
        <v>280</v>
      </c>
      <c r="AJ469" t="str">
        <f>"S-SM-3-8"</f>
        <v>S-SM-3-8</v>
      </c>
      <c r="AK469" t="str">
        <f>"10325"</f>
        <v>10325</v>
      </c>
      <c r="AL469" t="str">
        <f t="shared" si="436"/>
        <v>0370</v>
      </c>
      <c r="AM469" t="str">
        <f t="shared" si="437"/>
        <v>ｼﾑ</v>
      </c>
      <c r="AN469" t="str">
        <f t="shared" si="415"/>
        <v>012</v>
      </c>
      <c r="AO469" t="str">
        <f t="shared" si="416"/>
        <v>TP-131 ﾊﾝﾖｳ</v>
      </c>
      <c r="AP469">
        <v>100</v>
      </c>
      <c r="AQ469" t="str">
        <f>""</f>
        <v/>
      </c>
      <c r="AR469" t="str">
        <f>""</f>
        <v/>
      </c>
      <c r="AS469" t="str">
        <f>""</f>
        <v/>
      </c>
      <c r="AT469" t="str">
        <f t="shared" si="417"/>
        <v>00</v>
      </c>
      <c r="AU469">
        <v>0.5</v>
      </c>
      <c r="AV469" t="str">
        <f>""</f>
        <v/>
      </c>
      <c r="AW469" t="str">
        <f t="shared" si="438"/>
        <v>06</v>
      </c>
      <c r="AX469" t="str">
        <f t="shared" si="439"/>
        <v>計画</v>
      </c>
      <c r="AY469" t="str">
        <f t="shared" si="440"/>
        <v>02</v>
      </c>
      <c r="AZ469" t="str">
        <f t="shared" si="441"/>
        <v>計画・２社</v>
      </c>
      <c r="BA469" t="str">
        <f>""</f>
        <v/>
      </c>
      <c r="BB469" t="str">
        <f t="shared" si="418"/>
        <v>ＴＰ１３１フタナシ</v>
      </c>
      <c r="BC469" t="str">
        <f t="shared" si="419"/>
        <v xml:space="preserve"> 335.000</v>
      </c>
      <c r="BD469" t="str">
        <f t="shared" si="420"/>
        <v xml:space="preserve"> 168.000</v>
      </c>
      <c r="BE469" t="str">
        <f t="shared" si="421"/>
        <v xml:space="preserve"> 103.000</v>
      </c>
      <c r="BF469" t="str">
        <f t="shared" si="422"/>
        <v xml:space="preserve">   0.006</v>
      </c>
      <c r="BG469" t="str">
        <f t="shared" si="444"/>
        <v xml:space="preserve">   7.430</v>
      </c>
      <c r="BH469" t="str">
        <f t="shared" si="406"/>
        <v>しない</v>
      </c>
      <c r="BI469" t="str">
        <f>""</f>
        <v/>
      </c>
      <c r="BJ469" t="str">
        <f t="shared" si="445"/>
        <v>MASTER01</v>
      </c>
      <c r="BK469" t="str">
        <f t="shared" si="405"/>
        <v>2022/04/19</v>
      </c>
      <c r="BL469" t="str">
        <f t="shared" si="433"/>
        <v>NE00</v>
      </c>
      <c r="BM469" t="str">
        <f t="shared" si="434"/>
        <v>１工工務Ｇ</v>
      </c>
      <c r="BN469" t="str">
        <f t="shared" si="442"/>
        <v>46548</v>
      </c>
      <c r="BO469" t="str">
        <f t="shared" si="443"/>
        <v>長畑　玲奈</v>
      </c>
    </row>
    <row r="470" spans="1:67">
      <c r="A470" t="s">
        <v>552</v>
      </c>
      <c r="B470" t="str">
        <f>""</f>
        <v/>
      </c>
      <c r="C470" t="str">
        <f>""</f>
        <v/>
      </c>
      <c r="D470" t="str">
        <f t="shared" si="435"/>
        <v>SHIM</v>
      </c>
      <c r="E470" t="str">
        <f t="shared" si="423"/>
        <v>1Y</v>
      </c>
      <c r="F470" t="str">
        <f t="shared" si="424"/>
        <v>第１工場</v>
      </c>
      <c r="G470" t="str">
        <f t="shared" si="425"/>
        <v>手配</v>
      </c>
      <c r="H470" t="str">
        <f t="shared" si="426"/>
        <v>Ｐ</v>
      </c>
      <c r="I470" t="str">
        <f t="shared" si="411"/>
        <v>6454</v>
      </c>
      <c r="J470" t="str">
        <f t="shared" si="412"/>
        <v>（株）ムロコーポレーション</v>
      </c>
      <c r="K470" t="str">
        <f t="shared" si="410"/>
        <v>01</v>
      </c>
      <c r="L470" t="str">
        <f>""</f>
        <v/>
      </c>
      <c r="M470" t="str">
        <f t="shared" si="407"/>
        <v>――</v>
      </c>
      <c r="N470" t="str">
        <f t="shared" si="407"/>
        <v>――</v>
      </c>
      <c r="O470" t="str">
        <f t="shared" si="427"/>
        <v>Ｍ</v>
      </c>
      <c r="P470" t="str">
        <f t="shared" si="428"/>
        <v>01</v>
      </c>
      <c r="Q470" t="str">
        <f t="shared" si="429"/>
        <v>第１</v>
      </c>
      <c r="R470" t="str">
        <f t="shared" si="430"/>
        <v>1Y</v>
      </c>
      <c r="S470" t="str">
        <f t="shared" si="431"/>
        <v>安城第１工場</v>
      </c>
      <c r="T470" t="str">
        <f t="shared" si="432"/>
        <v>直接</v>
      </c>
      <c r="U470" t="str">
        <f>""</f>
        <v/>
      </c>
      <c r="V470" t="str">
        <f>""</f>
        <v/>
      </c>
      <c r="W470" t="str">
        <f>""</f>
        <v/>
      </c>
      <c r="X470">
        <v>1</v>
      </c>
      <c r="Y470">
        <v>1</v>
      </c>
      <c r="Z470">
        <v>0.73</v>
      </c>
      <c r="AA470">
        <v>0.93</v>
      </c>
      <c r="AB470">
        <v>3</v>
      </c>
      <c r="AC470">
        <v>0.93</v>
      </c>
      <c r="AD470">
        <v>0.93</v>
      </c>
      <c r="AE470">
        <v>1.1000000000000001</v>
      </c>
      <c r="AF470">
        <v>0.5</v>
      </c>
      <c r="AG470" t="str">
        <f t="shared" si="413"/>
        <v>205</v>
      </c>
      <c r="AH470" t="str">
        <f t="shared" si="414"/>
        <v>（株）ムロコーポレーション</v>
      </c>
      <c r="AI470" t="str">
        <f>"281"</f>
        <v>281</v>
      </c>
      <c r="AJ470" t="str">
        <f>"S-SM-3-9"</f>
        <v>S-SM-3-9</v>
      </c>
      <c r="AK470" t="str">
        <f>"10326"</f>
        <v>10326</v>
      </c>
      <c r="AL470" t="str">
        <f t="shared" si="436"/>
        <v>0370</v>
      </c>
      <c r="AM470" t="str">
        <f t="shared" si="437"/>
        <v>ｼﾑ</v>
      </c>
      <c r="AN470" t="str">
        <f t="shared" si="415"/>
        <v>012</v>
      </c>
      <c r="AO470" t="str">
        <f t="shared" si="416"/>
        <v>TP-131 ﾊﾝﾖｳ</v>
      </c>
      <c r="AP470">
        <v>100</v>
      </c>
      <c r="AQ470" t="str">
        <f>""</f>
        <v/>
      </c>
      <c r="AR470" t="str">
        <f>""</f>
        <v/>
      </c>
      <c r="AS470" t="str">
        <f>""</f>
        <v/>
      </c>
      <c r="AT470" t="str">
        <f t="shared" si="417"/>
        <v>00</v>
      </c>
      <c r="AU470">
        <v>0.5</v>
      </c>
      <c r="AV470" t="str">
        <f>""</f>
        <v/>
      </c>
      <c r="AW470" t="str">
        <f t="shared" si="438"/>
        <v>06</v>
      </c>
      <c r="AX470" t="str">
        <f t="shared" si="439"/>
        <v>計画</v>
      </c>
      <c r="AY470" t="str">
        <f t="shared" si="440"/>
        <v>02</v>
      </c>
      <c r="AZ470" t="str">
        <f t="shared" si="441"/>
        <v>計画・２社</v>
      </c>
      <c r="BA470" t="str">
        <f>""</f>
        <v/>
      </c>
      <c r="BB470" t="str">
        <f t="shared" si="418"/>
        <v>ＴＰ１３１フタナシ</v>
      </c>
      <c r="BC470" t="str">
        <f t="shared" si="419"/>
        <v xml:space="preserve"> 335.000</v>
      </c>
      <c r="BD470" t="str">
        <f t="shared" si="420"/>
        <v xml:space="preserve"> 168.000</v>
      </c>
      <c r="BE470" t="str">
        <f t="shared" si="421"/>
        <v xml:space="preserve"> 103.000</v>
      </c>
      <c r="BF470" t="str">
        <f t="shared" si="422"/>
        <v xml:space="preserve">   0.006</v>
      </c>
      <c r="BG470" t="str">
        <f t="shared" si="444"/>
        <v xml:space="preserve">   7.430</v>
      </c>
      <c r="BH470" t="str">
        <f t="shared" si="406"/>
        <v>しない</v>
      </c>
      <c r="BI470" t="str">
        <f>""</f>
        <v/>
      </c>
      <c r="BJ470" t="str">
        <f t="shared" si="445"/>
        <v>MASTER01</v>
      </c>
      <c r="BK470" t="str">
        <f t="shared" ref="BK470:BK497" si="446">"2022/04/19"</f>
        <v>2022/04/19</v>
      </c>
      <c r="BL470" t="str">
        <f t="shared" si="433"/>
        <v>NE00</v>
      </c>
      <c r="BM470" t="str">
        <f t="shared" si="434"/>
        <v>１工工務Ｇ</v>
      </c>
      <c r="BN470" t="str">
        <f t="shared" si="442"/>
        <v>46548</v>
      </c>
      <c r="BO470" t="str">
        <f t="shared" si="443"/>
        <v>長畑　玲奈</v>
      </c>
    </row>
    <row r="471" spans="1:67">
      <c r="A471" t="s">
        <v>553</v>
      </c>
      <c r="B471" t="str">
        <f>""</f>
        <v/>
      </c>
      <c r="C471" t="str">
        <f>""</f>
        <v/>
      </c>
      <c r="D471" t="str">
        <f t="shared" si="435"/>
        <v>SHIM</v>
      </c>
      <c r="E471" t="str">
        <f t="shared" si="423"/>
        <v>1Y</v>
      </c>
      <c r="F471" t="str">
        <f t="shared" si="424"/>
        <v>第１工場</v>
      </c>
      <c r="G471" t="str">
        <f t="shared" si="425"/>
        <v>手配</v>
      </c>
      <c r="H471" t="str">
        <f t="shared" si="426"/>
        <v>Ｐ</v>
      </c>
      <c r="I471" t="str">
        <f t="shared" si="411"/>
        <v>6454</v>
      </c>
      <c r="J471" t="str">
        <f t="shared" si="412"/>
        <v>（株）ムロコーポレーション</v>
      </c>
      <c r="K471" t="str">
        <f t="shared" si="410"/>
        <v>01</v>
      </c>
      <c r="L471" t="str">
        <f>""</f>
        <v/>
      </c>
      <c r="M471" t="str">
        <f t="shared" si="407"/>
        <v>――</v>
      </c>
      <c r="N471" t="str">
        <f t="shared" si="407"/>
        <v>――</v>
      </c>
      <c r="O471" t="str">
        <f t="shared" si="427"/>
        <v>Ｍ</v>
      </c>
      <c r="P471" t="str">
        <f t="shared" si="428"/>
        <v>01</v>
      </c>
      <c r="Q471" t="str">
        <f t="shared" si="429"/>
        <v>第１</v>
      </c>
      <c r="R471" t="str">
        <f t="shared" si="430"/>
        <v>1Y</v>
      </c>
      <c r="S471" t="str">
        <f t="shared" si="431"/>
        <v>安城第１工場</v>
      </c>
      <c r="T471" t="str">
        <f t="shared" si="432"/>
        <v>直接</v>
      </c>
      <c r="U471" t="str">
        <f>""</f>
        <v/>
      </c>
      <c r="V471" t="str">
        <f>""</f>
        <v/>
      </c>
      <c r="W471" t="str">
        <f>""</f>
        <v/>
      </c>
      <c r="X471">
        <v>1</v>
      </c>
      <c r="Y471">
        <v>1</v>
      </c>
      <c r="Z471">
        <v>0.73</v>
      </c>
      <c r="AA471">
        <v>0.93</v>
      </c>
      <c r="AB471">
        <v>3</v>
      </c>
      <c r="AC471">
        <v>0.93</v>
      </c>
      <c r="AD471">
        <v>0.93</v>
      </c>
      <c r="AE471">
        <v>1.1000000000000001</v>
      </c>
      <c r="AF471">
        <v>0.5</v>
      </c>
      <c r="AG471" t="str">
        <f t="shared" si="413"/>
        <v>205</v>
      </c>
      <c r="AH471" t="str">
        <f t="shared" si="414"/>
        <v>（株）ムロコーポレーション</v>
      </c>
      <c r="AI471" t="str">
        <f>"282"</f>
        <v>282</v>
      </c>
      <c r="AJ471" t="str">
        <f>"S-SM-1-11"</f>
        <v>S-SM-1-11</v>
      </c>
      <c r="AK471" t="str">
        <f>"10327"</f>
        <v>10327</v>
      </c>
      <c r="AL471" t="str">
        <f t="shared" si="436"/>
        <v>0370</v>
      </c>
      <c r="AM471" t="str">
        <f t="shared" si="437"/>
        <v>ｼﾑ</v>
      </c>
      <c r="AN471" t="str">
        <f t="shared" si="415"/>
        <v>012</v>
      </c>
      <c r="AO471" t="str">
        <f t="shared" si="416"/>
        <v>TP-131 ﾊﾝﾖｳ</v>
      </c>
      <c r="AP471">
        <v>100</v>
      </c>
      <c r="AQ471" t="str">
        <f>""</f>
        <v/>
      </c>
      <c r="AR471" t="str">
        <f>""</f>
        <v/>
      </c>
      <c r="AS471" t="str">
        <f>""</f>
        <v/>
      </c>
      <c r="AT471" t="str">
        <f t="shared" si="417"/>
        <v>00</v>
      </c>
      <c r="AU471">
        <v>0.5</v>
      </c>
      <c r="AV471" t="str">
        <f>""</f>
        <v/>
      </c>
      <c r="AW471" t="str">
        <f t="shared" si="438"/>
        <v>06</v>
      </c>
      <c r="AX471" t="str">
        <f t="shared" si="439"/>
        <v>計画</v>
      </c>
      <c r="AY471" t="str">
        <f t="shared" si="440"/>
        <v>02</v>
      </c>
      <c r="AZ471" t="str">
        <f t="shared" si="441"/>
        <v>計画・２社</v>
      </c>
      <c r="BA471" t="str">
        <f>""</f>
        <v/>
      </c>
      <c r="BB471" t="str">
        <f t="shared" si="418"/>
        <v>ＴＰ１３１フタナシ</v>
      </c>
      <c r="BC471" t="str">
        <f t="shared" si="419"/>
        <v xml:space="preserve"> 335.000</v>
      </c>
      <c r="BD471" t="str">
        <f t="shared" si="420"/>
        <v xml:space="preserve"> 168.000</v>
      </c>
      <c r="BE471" t="str">
        <f t="shared" si="421"/>
        <v xml:space="preserve"> 103.000</v>
      </c>
      <c r="BF471" t="str">
        <f t="shared" si="422"/>
        <v xml:space="preserve">   0.006</v>
      </c>
      <c r="BG471" t="str">
        <f t="shared" si="444"/>
        <v xml:space="preserve">   7.430</v>
      </c>
      <c r="BH471" t="str">
        <f t="shared" si="406"/>
        <v>しない</v>
      </c>
      <c r="BI471" t="str">
        <f>""</f>
        <v/>
      </c>
      <c r="BJ471" t="str">
        <f t="shared" si="445"/>
        <v>MASTER01</v>
      </c>
      <c r="BK471" t="str">
        <f t="shared" si="446"/>
        <v>2022/04/19</v>
      </c>
      <c r="BL471" t="str">
        <f t="shared" si="433"/>
        <v>NE00</v>
      </c>
      <c r="BM471" t="str">
        <f t="shared" si="434"/>
        <v>１工工務Ｇ</v>
      </c>
      <c r="BN471" t="str">
        <f t="shared" si="442"/>
        <v>46548</v>
      </c>
      <c r="BO471" t="str">
        <f t="shared" si="443"/>
        <v>長畑　玲奈</v>
      </c>
    </row>
    <row r="472" spans="1:67">
      <c r="A472" t="s">
        <v>554</v>
      </c>
      <c r="B472" t="str">
        <f>""</f>
        <v/>
      </c>
      <c r="C472" t="str">
        <f>""</f>
        <v/>
      </c>
      <c r="D472" t="str">
        <f t="shared" si="435"/>
        <v>SHIM</v>
      </c>
      <c r="E472" t="str">
        <f t="shared" si="423"/>
        <v>1Y</v>
      </c>
      <c r="F472" t="str">
        <f t="shared" si="424"/>
        <v>第１工場</v>
      </c>
      <c r="G472" t="str">
        <f t="shared" si="425"/>
        <v>手配</v>
      </c>
      <c r="H472" t="str">
        <f t="shared" si="426"/>
        <v>Ｐ</v>
      </c>
      <c r="I472" t="str">
        <f t="shared" si="411"/>
        <v>6454</v>
      </c>
      <c r="J472" t="str">
        <f t="shared" si="412"/>
        <v>（株）ムロコーポレーション</v>
      </c>
      <c r="K472" t="str">
        <f t="shared" si="410"/>
        <v>01</v>
      </c>
      <c r="L472" t="str">
        <f>""</f>
        <v/>
      </c>
      <c r="M472" t="str">
        <f t="shared" si="407"/>
        <v>――</v>
      </c>
      <c r="N472" t="str">
        <f t="shared" si="407"/>
        <v>――</v>
      </c>
      <c r="O472" t="str">
        <f t="shared" si="427"/>
        <v>Ｍ</v>
      </c>
      <c r="P472" t="str">
        <f t="shared" si="428"/>
        <v>01</v>
      </c>
      <c r="Q472" t="str">
        <f t="shared" si="429"/>
        <v>第１</v>
      </c>
      <c r="R472" t="str">
        <f t="shared" si="430"/>
        <v>1Y</v>
      </c>
      <c r="S472" t="str">
        <f t="shared" si="431"/>
        <v>安城第１工場</v>
      </c>
      <c r="T472" t="str">
        <f t="shared" si="432"/>
        <v>直接</v>
      </c>
      <c r="U472" t="str">
        <f>""</f>
        <v/>
      </c>
      <c r="V472" t="str">
        <f>""</f>
        <v/>
      </c>
      <c r="W472" t="str">
        <f>""</f>
        <v/>
      </c>
      <c r="X472">
        <v>1</v>
      </c>
      <c r="Y472">
        <v>1</v>
      </c>
      <c r="Z472">
        <v>0.73</v>
      </c>
      <c r="AA472">
        <v>0.93</v>
      </c>
      <c r="AB472">
        <v>3</v>
      </c>
      <c r="AC472">
        <v>0.93</v>
      </c>
      <c r="AD472">
        <v>0.93</v>
      </c>
      <c r="AE472">
        <v>1.1000000000000001</v>
      </c>
      <c r="AF472">
        <v>0.5</v>
      </c>
      <c r="AG472" t="str">
        <f t="shared" si="413"/>
        <v>205</v>
      </c>
      <c r="AH472" t="str">
        <f t="shared" si="414"/>
        <v>（株）ムロコーポレーション</v>
      </c>
      <c r="AI472" t="str">
        <f>"283"</f>
        <v>283</v>
      </c>
      <c r="AJ472" t="str">
        <f>"S-SM-1-12"</f>
        <v>S-SM-1-12</v>
      </c>
      <c r="AK472" t="str">
        <f>"10328"</f>
        <v>10328</v>
      </c>
      <c r="AL472" t="str">
        <f t="shared" si="436"/>
        <v>0370</v>
      </c>
      <c r="AM472" t="str">
        <f t="shared" si="437"/>
        <v>ｼﾑ</v>
      </c>
      <c r="AN472" t="str">
        <f t="shared" si="415"/>
        <v>012</v>
      </c>
      <c r="AO472" t="str">
        <f t="shared" si="416"/>
        <v>TP-131 ﾊﾝﾖｳ</v>
      </c>
      <c r="AP472">
        <v>100</v>
      </c>
      <c r="AQ472" t="str">
        <f>""</f>
        <v/>
      </c>
      <c r="AR472" t="str">
        <f>""</f>
        <v/>
      </c>
      <c r="AS472" t="str">
        <f>""</f>
        <v/>
      </c>
      <c r="AT472" t="str">
        <f t="shared" si="417"/>
        <v>00</v>
      </c>
      <c r="AU472">
        <v>0.5</v>
      </c>
      <c r="AV472" t="str">
        <f>""</f>
        <v/>
      </c>
      <c r="AW472" t="str">
        <f t="shared" si="438"/>
        <v>06</v>
      </c>
      <c r="AX472" t="str">
        <f t="shared" si="439"/>
        <v>計画</v>
      </c>
      <c r="AY472" t="str">
        <f t="shared" si="440"/>
        <v>02</v>
      </c>
      <c r="AZ472" t="str">
        <f t="shared" si="441"/>
        <v>計画・２社</v>
      </c>
      <c r="BA472" t="str">
        <f>""</f>
        <v/>
      </c>
      <c r="BB472" t="str">
        <f t="shared" si="418"/>
        <v>ＴＰ１３１フタナシ</v>
      </c>
      <c r="BC472" t="str">
        <f t="shared" si="419"/>
        <v xml:space="preserve"> 335.000</v>
      </c>
      <c r="BD472" t="str">
        <f t="shared" si="420"/>
        <v xml:space="preserve"> 168.000</v>
      </c>
      <c r="BE472" t="str">
        <f t="shared" si="421"/>
        <v xml:space="preserve"> 103.000</v>
      </c>
      <c r="BF472" t="str">
        <f t="shared" si="422"/>
        <v xml:space="preserve">   0.006</v>
      </c>
      <c r="BG472" t="str">
        <f t="shared" si="444"/>
        <v xml:space="preserve">   7.430</v>
      </c>
      <c r="BH472" t="str">
        <f t="shared" si="406"/>
        <v>しない</v>
      </c>
      <c r="BI472" t="str">
        <f>""</f>
        <v/>
      </c>
      <c r="BJ472" t="str">
        <f t="shared" si="445"/>
        <v>MASTER01</v>
      </c>
      <c r="BK472" t="str">
        <f t="shared" si="446"/>
        <v>2022/04/19</v>
      </c>
      <c r="BL472" t="str">
        <f t="shared" si="433"/>
        <v>NE00</v>
      </c>
      <c r="BM472" t="str">
        <f t="shared" si="434"/>
        <v>１工工務Ｇ</v>
      </c>
      <c r="BN472" t="str">
        <f t="shared" si="442"/>
        <v>46548</v>
      </c>
      <c r="BO472" t="str">
        <f t="shared" si="443"/>
        <v>長畑　玲奈</v>
      </c>
    </row>
    <row r="473" spans="1:67">
      <c r="A473" t="s">
        <v>555</v>
      </c>
      <c r="B473" t="str">
        <f>""</f>
        <v/>
      </c>
      <c r="C473" t="str">
        <f>""</f>
        <v/>
      </c>
      <c r="D473" t="str">
        <f t="shared" si="435"/>
        <v>SHIM</v>
      </c>
      <c r="E473" t="str">
        <f t="shared" si="423"/>
        <v>1Y</v>
      </c>
      <c r="F473" t="str">
        <f t="shared" si="424"/>
        <v>第１工場</v>
      </c>
      <c r="G473" t="str">
        <f t="shared" si="425"/>
        <v>手配</v>
      </c>
      <c r="H473" t="str">
        <f t="shared" si="426"/>
        <v>Ｐ</v>
      </c>
      <c r="I473" t="str">
        <f t="shared" si="411"/>
        <v>6454</v>
      </c>
      <c r="J473" t="str">
        <f t="shared" si="412"/>
        <v>（株）ムロコーポレーション</v>
      </c>
      <c r="K473" t="str">
        <f t="shared" si="410"/>
        <v>01</v>
      </c>
      <c r="L473" t="str">
        <f>""</f>
        <v/>
      </c>
      <c r="M473" t="str">
        <f t="shared" si="407"/>
        <v>――</v>
      </c>
      <c r="N473" t="str">
        <f t="shared" si="407"/>
        <v>――</v>
      </c>
      <c r="O473" t="str">
        <f t="shared" si="427"/>
        <v>Ｍ</v>
      </c>
      <c r="P473" t="str">
        <f t="shared" si="428"/>
        <v>01</v>
      </c>
      <c r="Q473" t="str">
        <f t="shared" si="429"/>
        <v>第１</v>
      </c>
      <c r="R473" t="str">
        <f t="shared" si="430"/>
        <v>1Y</v>
      </c>
      <c r="S473" t="str">
        <f t="shared" si="431"/>
        <v>安城第１工場</v>
      </c>
      <c r="T473" t="str">
        <f t="shared" si="432"/>
        <v>直接</v>
      </c>
      <c r="U473" t="str">
        <f>""</f>
        <v/>
      </c>
      <c r="V473" t="str">
        <f>""</f>
        <v/>
      </c>
      <c r="W473" t="str">
        <f>""</f>
        <v/>
      </c>
      <c r="X473">
        <v>1</v>
      </c>
      <c r="Y473">
        <v>1</v>
      </c>
      <c r="Z473">
        <v>0.73</v>
      </c>
      <c r="AA473">
        <v>0.93</v>
      </c>
      <c r="AB473">
        <v>3</v>
      </c>
      <c r="AC473">
        <v>0.93</v>
      </c>
      <c r="AD473">
        <v>0.93</v>
      </c>
      <c r="AE473">
        <v>1.1000000000000001</v>
      </c>
      <c r="AF473">
        <v>0.5</v>
      </c>
      <c r="AG473" t="str">
        <f t="shared" si="413"/>
        <v>205</v>
      </c>
      <c r="AH473" t="str">
        <f t="shared" si="414"/>
        <v>（株）ムロコーポレーション</v>
      </c>
      <c r="AI473" t="str">
        <f>"284"</f>
        <v>284</v>
      </c>
      <c r="AJ473" t="str">
        <f>"S-SM-1-13"</f>
        <v>S-SM-1-13</v>
      </c>
      <c r="AK473" t="str">
        <f>"10329"</f>
        <v>10329</v>
      </c>
      <c r="AL473" t="str">
        <f t="shared" si="436"/>
        <v>0370</v>
      </c>
      <c r="AM473" t="str">
        <f t="shared" si="437"/>
        <v>ｼﾑ</v>
      </c>
      <c r="AN473" t="str">
        <f t="shared" si="415"/>
        <v>012</v>
      </c>
      <c r="AO473" t="str">
        <f t="shared" si="416"/>
        <v>TP-131 ﾊﾝﾖｳ</v>
      </c>
      <c r="AP473">
        <v>100</v>
      </c>
      <c r="AQ473" t="str">
        <f>""</f>
        <v/>
      </c>
      <c r="AR473" t="str">
        <f>""</f>
        <v/>
      </c>
      <c r="AS473" t="str">
        <f>""</f>
        <v/>
      </c>
      <c r="AT473" t="str">
        <f t="shared" si="417"/>
        <v>00</v>
      </c>
      <c r="AU473">
        <v>0.5</v>
      </c>
      <c r="AV473" t="str">
        <f>""</f>
        <v/>
      </c>
      <c r="AW473" t="str">
        <f t="shared" si="438"/>
        <v>06</v>
      </c>
      <c r="AX473" t="str">
        <f t="shared" si="439"/>
        <v>計画</v>
      </c>
      <c r="AY473" t="str">
        <f t="shared" si="440"/>
        <v>02</v>
      </c>
      <c r="AZ473" t="str">
        <f t="shared" si="441"/>
        <v>計画・２社</v>
      </c>
      <c r="BA473" t="str">
        <f>""</f>
        <v/>
      </c>
      <c r="BB473" t="str">
        <f t="shared" si="418"/>
        <v>ＴＰ１３１フタナシ</v>
      </c>
      <c r="BC473" t="str">
        <f t="shared" si="419"/>
        <v xml:space="preserve"> 335.000</v>
      </c>
      <c r="BD473" t="str">
        <f t="shared" si="420"/>
        <v xml:space="preserve"> 168.000</v>
      </c>
      <c r="BE473" t="str">
        <f t="shared" si="421"/>
        <v xml:space="preserve"> 103.000</v>
      </c>
      <c r="BF473" t="str">
        <f t="shared" si="422"/>
        <v xml:space="preserve">   0.006</v>
      </c>
      <c r="BG473" t="str">
        <f t="shared" si="444"/>
        <v xml:space="preserve">   7.430</v>
      </c>
      <c r="BH473" t="str">
        <f t="shared" si="406"/>
        <v>しない</v>
      </c>
      <c r="BI473" t="str">
        <f>""</f>
        <v/>
      </c>
      <c r="BJ473" t="str">
        <f t="shared" si="445"/>
        <v>MASTER01</v>
      </c>
      <c r="BK473" t="str">
        <f t="shared" si="446"/>
        <v>2022/04/19</v>
      </c>
      <c r="BL473" t="str">
        <f t="shared" si="433"/>
        <v>NE00</v>
      </c>
      <c r="BM473" t="str">
        <f t="shared" si="434"/>
        <v>１工工務Ｇ</v>
      </c>
      <c r="BN473" t="str">
        <f t="shared" si="442"/>
        <v>46548</v>
      </c>
      <c r="BO473" t="str">
        <f t="shared" si="443"/>
        <v>長畑　玲奈</v>
      </c>
    </row>
    <row r="474" spans="1:67">
      <c r="A474" t="s">
        <v>556</v>
      </c>
      <c r="B474" t="str">
        <f>""</f>
        <v/>
      </c>
      <c r="C474" t="str">
        <f>""</f>
        <v/>
      </c>
      <c r="D474" t="str">
        <f t="shared" si="435"/>
        <v>SHIM</v>
      </c>
      <c r="E474" t="str">
        <f t="shared" si="423"/>
        <v>1Y</v>
      </c>
      <c r="F474" t="str">
        <f t="shared" si="424"/>
        <v>第１工場</v>
      </c>
      <c r="G474" t="str">
        <f t="shared" si="425"/>
        <v>手配</v>
      </c>
      <c r="H474" t="str">
        <f t="shared" si="426"/>
        <v>Ｐ</v>
      </c>
      <c r="I474" t="str">
        <f t="shared" si="411"/>
        <v>6454</v>
      </c>
      <c r="J474" t="str">
        <f t="shared" si="412"/>
        <v>（株）ムロコーポレーション</v>
      </c>
      <c r="K474" t="str">
        <f t="shared" si="410"/>
        <v>01</v>
      </c>
      <c r="L474" t="str">
        <f>""</f>
        <v/>
      </c>
      <c r="M474" t="str">
        <f t="shared" si="407"/>
        <v>――</v>
      </c>
      <c r="N474" t="str">
        <f t="shared" si="407"/>
        <v>――</v>
      </c>
      <c r="O474" t="str">
        <f t="shared" si="427"/>
        <v>Ｍ</v>
      </c>
      <c r="P474" t="str">
        <f t="shared" si="428"/>
        <v>01</v>
      </c>
      <c r="Q474" t="str">
        <f t="shared" si="429"/>
        <v>第１</v>
      </c>
      <c r="R474" t="str">
        <f t="shared" si="430"/>
        <v>1Y</v>
      </c>
      <c r="S474" t="str">
        <f t="shared" si="431"/>
        <v>安城第１工場</v>
      </c>
      <c r="T474" t="str">
        <f t="shared" si="432"/>
        <v>直接</v>
      </c>
      <c r="U474" t="str">
        <f>""</f>
        <v/>
      </c>
      <c r="V474" t="str">
        <f>""</f>
        <v/>
      </c>
      <c r="W474" t="str">
        <f>""</f>
        <v/>
      </c>
      <c r="X474">
        <v>1</v>
      </c>
      <c r="Y474">
        <v>1</v>
      </c>
      <c r="Z474">
        <v>0.73</v>
      </c>
      <c r="AA474">
        <v>0.93</v>
      </c>
      <c r="AB474">
        <v>3</v>
      </c>
      <c r="AC474">
        <v>0.93</v>
      </c>
      <c r="AD474">
        <v>0.93</v>
      </c>
      <c r="AE474">
        <v>1.1000000000000001</v>
      </c>
      <c r="AF474">
        <v>0.5</v>
      </c>
      <c r="AG474" t="str">
        <f t="shared" si="413"/>
        <v>205</v>
      </c>
      <c r="AH474" t="str">
        <f t="shared" si="414"/>
        <v>（株）ムロコーポレーション</v>
      </c>
      <c r="AI474" t="str">
        <f>"285"</f>
        <v>285</v>
      </c>
      <c r="AJ474" t="str">
        <f>"S-SM-1-14"</f>
        <v>S-SM-1-14</v>
      </c>
      <c r="AK474" t="str">
        <f>"10330"</f>
        <v>10330</v>
      </c>
      <c r="AL474" t="str">
        <f t="shared" si="436"/>
        <v>0370</v>
      </c>
      <c r="AM474" t="str">
        <f t="shared" si="437"/>
        <v>ｼﾑ</v>
      </c>
      <c r="AN474" t="str">
        <f t="shared" si="415"/>
        <v>012</v>
      </c>
      <c r="AO474" t="str">
        <f t="shared" si="416"/>
        <v>TP-131 ﾊﾝﾖｳ</v>
      </c>
      <c r="AP474">
        <v>100</v>
      </c>
      <c r="AQ474" t="str">
        <f>""</f>
        <v/>
      </c>
      <c r="AR474" t="str">
        <f>""</f>
        <v/>
      </c>
      <c r="AS474" t="str">
        <f>""</f>
        <v/>
      </c>
      <c r="AT474" t="str">
        <f t="shared" si="417"/>
        <v>00</v>
      </c>
      <c r="AU474">
        <v>0.5</v>
      </c>
      <c r="AV474" t="str">
        <f>""</f>
        <v/>
      </c>
      <c r="AW474" t="str">
        <f t="shared" si="438"/>
        <v>06</v>
      </c>
      <c r="AX474" t="str">
        <f t="shared" si="439"/>
        <v>計画</v>
      </c>
      <c r="AY474" t="str">
        <f t="shared" si="440"/>
        <v>02</v>
      </c>
      <c r="AZ474" t="str">
        <f t="shared" si="441"/>
        <v>計画・２社</v>
      </c>
      <c r="BA474" t="str">
        <f>""</f>
        <v/>
      </c>
      <c r="BB474" t="str">
        <f t="shared" si="418"/>
        <v>ＴＰ１３１フタナシ</v>
      </c>
      <c r="BC474" t="str">
        <f t="shared" si="419"/>
        <v xml:space="preserve"> 335.000</v>
      </c>
      <c r="BD474" t="str">
        <f t="shared" si="420"/>
        <v xml:space="preserve"> 168.000</v>
      </c>
      <c r="BE474" t="str">
        <f t="shared" si="421"/>
        <v xml:space="preserve"> 103.000</v>
      </c>
      <c r="BF474" t="str">
        <f t="shared" si="422"/>
        <v xml:space="preserve">   0.006</v>
      </c>
      <c r="BG474" t="str">
        <f t="shared" si="444"/>
        <v xml:space="preserve">   7.430</v>
      </c>
      <c r="BH474" t="str">
        <f t="shared" si="406"/>
        <v>しない</v>
      </c>
      <c r="BI474" t="str">
        <f>""</f>
        <v/>
      </c>
      <c r="BJ474" t="str">
        <f t="shared" si="445"/>
        <v>MASTER01</v>
      </c>
      <c r="BK474" t="str">
        <f t="shared" si="446"/>
        <v>2022/04/19</v>
      </c>
      <c r="BL474" t="str">
        <f t="shared" si="433"/>
        <v>NE00</v>
      </c>
      <c r="BM474" t="str">
        <f t="shared" si="434"/>
        <v>１工工務Ｇ</v>
      </c>
      <c r="BN474" t="str">
        <f t="shared" si="442"/>
        <v>46548</v>
      </c>
      <c r="BO474" t="str">
        <f t="shared" si="443"/>
        <v>長畑　玲奈</v>
      </c>
    </row>
    <row r="475" spans="1:67">
      <c r="A475" t="s">
        <v>557</v>
      </c>
      <c r="B475" t="str">
        <f>""</f>
        <v/>
      </c>
      <c r="C475" t="str">
        <f>""</f>
        <v/>
      </c>
      <c r="D475" t="str">
        <f t="shared" si="435"/>
        <v>SHIM</v>
      </c>
      <c r="E475" t="str">
        <f t="shared" si="423"/>
        <v>1Y</v>
      </c>
      <c r="F475" t="str">
        <f t="shared" si="424"/>
        <v>第１工場</v>
      </c>
      <c r="G475" t="str">
        <f t="shared" si="425"/>
        <v>手配</v>
      </c>
      <c r="H475" t="str">
        <f t="shared" si="426"/>
        <v>Ｐ</v>
      </c>
      <c r="I475" t="str">
        <f t="shared" si="411"/>
        <v>6454</v>
      </c>
      <c r="J475" t="str">
        <f t="shared" si="412"/>
        <v>（株）ムロコーポレーション</v>
      </c>
      <c r="K475" t="str">
        <f t="shared" si="410"/>
        <v>01</v>
      </c>
      <c r="L475" t="str">
        <f>""</f>
        <v/>
      </c>
      <c r="M475" t="str">
        <f t="shared" si="407"/>
        <v>――</v>
      </c>
      <c r="N475" t="str">
        <f t="shared" si="407"/>
        <v>――</v>
      </c>
      <c r="O475" t="str">
        <f t="shared" si="427"/>
        <v>Ｍ</v>
      </c>
      <c r="P475" t="str">
        <f t="shared" si="428"/>
        <v>01</v>
      </c>
      <c r="Q475" t="str">
        <f t="shared" si="429"/>
        <v>第１</v>
      </c>
      <c r="R475" t="str">
        <f t="shared" si="430"/>
        <v>1Y</v>
      </c>
      <c r="S475" t="str">
        <f t="shared" si="431"/>
        <v>安城第１工場</v>
      </c>
      <c r="T475" t="str">
        <f t="shared" si="432"/>
        <v>直接</v>
      </c>
      <c r="U475" t="str">
        <f>""</f>
        <v/>
      </c>
      <c r="V475" t="str">
        <f>""</f>
        <v/>
      </c>
      <c r="W475" t="str">
        <f>""</f>
        <v/>
      </c>
      <c r="X475">
        <v>1</v>
      </c>
      <c r="Y475">
        <v>1</v>
      </c>
      <c r="Z475">
        <v>0.73</v>
      </c>
      <c r="AA475">
        <v>0.93</v>
      </c>
      <c r="AB475">
        <v>3</v>
      </c>
      <c r="AC475">
        <v>0.93</v>
      </c>
      <c r="AD475">
        <v>0.93</v>
      </c>
      <c r="AE475">
        <v>1.1000000000000001</v>
      </c>
      <c r="AF475">
        <v>0.5</v>
      </c>
      <c r="AG475" t="str">
        <f t="shared" si="413"/>
        <v>205</v>
      </c>
      <c r="AH475" t="str">
        <f t="shared" si="414"/>
        <v>（株）ムロコーポレーション</v>
      </c>
      <c r="AI475" t="str">
        <f>"286"</f>
        <v>286</v>
      </c>
      <c r="AJ475" t="str">
        <f>"S-SM-1-15"</f>
        <v>S-SM-1-15</v>
      </c>
      <c r="AK475" t="str">
        <f>"10331"</f>
        <v>10331</v>
      </c>
      <c r="AL475" t="str">
        <f t="shared" si="436"/>
        <v>0370</v>
      </c>
      <c r="AM475" t="str">
        <f t="shared" si="437"/>
        <v>ｼﾑ</v>
      </c>
      <c r="AN475" t="str">
        <f t="shared" si="415"/>
        <v>012</v>
      </c>
      <c r="AO475" t="str">
        <f t="shared" si="416"/>
        <v>TP-131 ﾊﾝﾖｳ</v>
      </c>
      <c r="AP475">
        <v>100</v>
      </c>
      <c r="AQ475" t="str">
        <f>""</f>
        <v/>
      </c>
      <c r="AR475" t="str">
        <f>""</f>
        <v/>
      </c>
      <c r="AS475" t="str">
        <f>""</f>
        <v/>
      </c>
      <c r="AT475" t="str">
        <f t="shared" si="417"/>
        <v>00</v>
      </c>
      <c r="AU475">
        <v>0.5</v>
      </c>
      <c r="AV475" t="str">
        <f>""</f>
        <v/>
      </c>
      <c r="AW475" t="str">
        <f t="shared" si="438"/>
        <v>06</v>
      </c>
      <c r="AX475" t="str">
        <f t="shared" si="439"/>
        <v>計画</v>
      </c>
      <c r="AY475" t="str">
        <f t="shared" si="440"/>
        <v>02</v>
      </c>
      <c r="AZ475" t="str">
        <f t="shared" si="441"/>
        <v>計画・２社</v>
      </c>
      <c r="BA475" t="str">
        <f>""</f>
        <v/>
      </c>
      <c r="BB475" t="str">
        <f t="shared" si="418"/>
        <v>ＴＰ１３１フタナシ</v>
      </c>
      <c r="BC475" t="str">
        <f t="shared" si="419"/>
        <v xml:space="preserve"> 335.000</v>
      </c>
      <c r="BD475" t="str">
        <f t="shared" si="420"/>
        <v xml:space="preserve"> 168.000</v>
      </c>
      <c r="BE475" t="str">
        <f t="shared" si="421"/>
        <v xml:space="preserve"> 103.000</v>
      </c>
      <c r="BF475" t="str">
        <f t="shared" si="422"/>
        <v xml:space="preserve">   0.006</v>
      </c>
      <c r="BG475" t="str">
        <f t="shared" si="444"/>
        <v xml:space="preserve">   7.430</v>
      </c>
      <c r="BH475" t="str">
        <f t="shared" si="406"/>
        <v>しない</v>
      </c>
      <c r="BI475" t="str">
        <f>""</f>
        <v/>
      </c>
      <c r="BJ475" t="str">
        <f t="shared" si="445"/>
        <v>MASTER01</v>
      </c>
      <c r="BK475" t="str">
        <f t="shared" si="446"/>
        <v>2022/04/19</v>
      </c>
      <c r="BL475" t="str">
        <f t="shared" si="433"/>
        <v>NE00</v>
      </c>
      <c r="BM475" t="str">
        <f t="shared" si="434"/>
        <v>１工工務Ｇ</v>
      </c>
      <c r="BN475" t="str">
        <f t="shared" si="442"/>
        <v>46548</v>
      </c>
      <c r="BO475" t="str">
        <f t="shared" si="443"/>
        <v>長畑　玲奈</v>
      </c>
    </row>
    <row r="476" spans="1:67">
      <c r="A476" t="s">
        <v>558</v>
      </c>
      <c r="B476" t="str">
        <f>""</f>
        <v/>
      </c>
      <c r="C476" t="str">
        <f>""</f>
        <v/>
      </c>
      <c r="D476" t="str">
        <f t="shared" si="435"/>
        <v>SHIM</v>
      </c>
      <c r="E476" t="str">
        <f t="shared" si="423"/>
        <v>1Y</v>
      </c>
      <c r="F476" t="str">
        <f t="shared" si="424"/>
        <v>第１工場</v>
      </c>
      <c r="G476" t="str">
        <f t="shared" si="425"/>
        <v>手配</v>
      </c>
      <c r="H476" t="str">
        <f t="shared" si="426"/>
        <v>Ｐ</v>
      </c>
      <c r="I476" t="str">
        <f t="shared" si="411"/>
        <v>6454</v>
      </c>
      <c r="J476" t="str">
        <f t="shared" si="412"/>
        <v>（株）ムロコーポレーション</v>
      </c>
      <c r="K476" t="str">
        <f t="shared" si="410"/>
        <v>01</v>
      </c>
      <c r="L476" t="str">
        <f>""</f>
        <v/>
      </c>
      <c r="M476" t="str">
        <f t="shared" si="407"/>
        <v>――</v>
      </c>
      <c r="N476" t="str">
        <f t="shared" si="407"/>
        <v>――</v>
      </c>
      <c r="O476" t="str">
        <f t="shared" si="427"/>
        <v>Ｍ</v>
      </c>
      <c r="P476" t="str">
        <f t="shared" si="428"/>
        <v>01</v>
      </c>
      <c r="Q476" t="str">
        <f t="shared" si="429"/>
        <v>第１</v>
      </c>
      <c r="R476" t="str">
        <f t="shared" si="430"/>
        <v>1Y</v>
      </c>
      <c r="S476" t="str">
        <f t="shared" si="431"/>
        <v>安城第１工場</v>
      </c>
      <c r="T476" t="str">
        <f t="shared" si="432"/>
        <v>直接</v>
      </c>
      <c r="U476" t="str">
        <f>""</f>
        <v/>
      </c>
      <c r="V476" t="str">
        <f>""</f>
        <v/>
      </c>
      <c r="W476" t="str">
        <f>""</f>
        <v/>
      </c>
      <c r="X476">
        <v>1</v>
      </c>
      <c r="Y476">
        <v>1</v>
      </c>
      <c r="Z476">
        <v>0.73</v>
      </c>
      <c r="AA476">
        <v>0.93</v>
      </c>
      <c r="AB476">
        <v>3</v>
      </c>
      <c r="AC476">
        <v>0.93</v>
      </c>
      <c r="AD476">
        <v>0.93</v>
      </c>
      <c r="AE476">
        <v>1.1000000000000001</v>
      </c>
      <c r="AF476">
        <v>0.5</v>
      </c>
      <c r="AG476" t="str">
        <f t="shared" si="413"/>
        <v>205</v>
      </c>
      <c r="AH476" t="str">
        <f t="shared" si="414"/>
        <v>（株）ムロコーポレーション</v>
      </c>
      <c r="AI476" t="str">
        <f>"287"</f>
        <v>287</v>
      </c>
      <c r="AJ476" t="str">
        <f>"S-SM-1-16"</f>
        <v>S-SM-1-16</v>
      </c>
      <c r="AK476" t="str">
        <f>"10332"</f>
        <v>10332</v>
      </c>
      <c r="AL476" t="str">
        <f t="shared" si="436"/>
        <v>0370</v>
      </c>
      <c r="AM476" t="str">
        <f t="shared" si="437"/>
        <v>ｼﾑ</v>
      </c>
      <c r="AN476" t="str">
        <f t="shared" si="415"/>
        <v>012</v>
      </c>
      <c r="AO476" t="str">
        <f t="shared" si="416"/>
        <v>TP-131 ﾊﾝﾖｳ</v>
      </c>
      <c r="AP476">
        <v>100</v>
      </c>
      <c r="AQ476" t="str">
        <f>""</f>
        <v/>
      </c>
      <c r="AR476" t="str">
        <f>""</f>
        <v/>
      </c>
      <c r="AS476" t="str">
        <f>""</f>
        <v/>
      </c>
      <c r="AT476" t="str">
        <f t="shared" si="417"/>
        <v>00</v>
      </c>
      <c r="AU476">
        <v>0.5</v>
      </c>
      <c r="AV476" t="str">
        <f>""</f>
        <v/>
      </c>
      <c r="AW476" t="str">
        <f t="shared" si="438"/>
        <v>06</v>
      </c>
      <c r="AX476" t="str">
        <f t="shared" si="439"/>
        <v>計画</v>
      </c>
      <c r="AY476" t="str">
        <f t="shared" si="440"/>
        <v>02</v>
      </c>
      <c r="AZ476" t="str">
        <f t="shared" si="441"/>
        <v>計画・２社</v>
      </c>
      <c r="BA476" t="str">
        <f>""</f>
        <v/>
      </c>
      <c r="BB476" t="str">
        <f t="shared" si="418"/>
        <v>ＴＰ１３１フタナシ</v>
      </c>
      <c r="BC476" t="str">
        <f t="shared" si="419"/>
        <v xml:space="preserve"> 335.000</v>
      </c>
      <c r="BD476" t="str">
        <f t="shared" si="420"/>
        <v xml:space="preserve"> 168.000</v>
      </c>
      <c r="BE476" t="str">
        <f t="shared" si="421"/>
        <v xml:space="preserve"> 103.000</v>
      </c>
      <c r="BF476" t="str">
        <f t="shared" si="422"/>
        <v xml:space="preserve">   0.006</v>
      </c>
      <c r="BG476" t="str">
        <f t="shared" ref="BG476:BG497" si="447">"   6.500"</f>
        <v xml:space="preserve">   6.500</v>
      </c>
      <c r="BH476" t="str">
        <f t="shared" si="406"/>
        <v>しない</v>
      </c>
      <c r="BI476" t="str">
        <f>""</f>
        <v/>
      </c>
      <c r="BJ476" t="str">
        <f t="shared" si="445"/>
        <v>MASTER01</v>
      </c>
      <c r="BK476" t="str">
        <f t="shared" si="446"/>
        <v>2022/04/19</v>
      </c>
      <c r="BL476" t="str">
        <f t="shared" si="433"/>
        <v>NE00</v>
      </c>
      <c r="BM476" t="str">
        <f t="shared" si="434"/>
        <v>１工工務Ｇ</v>
      </c>
      <c r="BN476" t="str">
        <f t="shared" si="442"/>
        <v>46548</v>
      </c>
      <c r="BO476" t="str">
        <f t="shared" si="443"/>
        <v>長畑　玲奈</v>
      </c>
    </row>
    <row r="477" spans="1:67">
      <c r="A477" t="s">
        <v>559</v>
      </c>
      <c r="B477" t="str">
        <f>""</f>
        <v/>
      </c>
      <c r="C477" t="str">
        <f>""</f>
        <v/>
      </c>
      <c r="D477" t="str">
        <f t="shared" si="435"/>
        <v>SHIM</v>
      </c>
      <c r="E477" t="str">
        <f t="shared" si="423"/>
        <v>1Y</v>
      </c>
      <c r="F477" t="str">
        <f t="shared" si="424"/>
        <v>第１工場</v>
      </c>
      <c r="G477" t="str">
        <f t="shared" si="425"/>
        <v>手配</v>
      </c>
      <c r="H477" t="str">
        <f t="shared" si="426"/>
        <v>Ｐ</v>
      </c>
      <c r="I477" t="str">
        <f t="shared" si="411"/>
        <v>6454</v>
      </c>
      <c r="J477" t="str">
        <f t="shared" si="412"/>
        <v>（株）ムロコーポレーション</v>
      </c>
      <c r="K477" t="str">
        <f t="shared" si="410"/>
        <v>01</v>
      </c>
      <c r="L477" t="str">
        <f>""</f>
        <v/>
      </c>
      <c r="M477" t="str">
        <f t="shared" si="407"/>
        <v>――</v>
      </c>
      <c r="N477" t="str">
        <f t="shared" si="407"/>
        <v>――</v>
      </c>
      <c r="O477" t="str">
        <f t="shared" si="427"/>
        <v>Ｍ</v>
      </c>
      <c r="P477" t="str">
        <f t="shared" si="428"/>
        <v>01</v>
      </c>
      <c r="Q477" t="str">
        <f t="shared" si="429"/>
        <v>第１</v>
      </c>
      <c r="R477" t="str">
        <f t="shared" si="430"/>
        <v>1Y</v>
      </c>
      <c r="S477" t="str">
        <f t="shared" si="431"/>
        <v>安城第１工場</v>
      </c>
      <c r="T477" t="str">
        <f t="shared" si="432"/>
        <v>直接</v>
      </c>
      <c r="U477" t="str">
        <f>""</f>
        <v/>
      </c>
      <c r="V477" t="str">
        <f>""</f>
        <v/>
      </c>
      <c r="W477" t="str">
        <f>""</f>
        <v/>
      </c>
      <c r="X477">
        <v>1</v>
      </c>
      <c r="Y477">
        <v>1</v>
      </c>
      <c r="Z477">
        <v>0.73</v>
      </c>
      <c r="AA477">
        <v>0.93</v>
      </c>
      <c r="AB477">
        <v>3</v>
      </c>
      <c r="AC477">
        <v>0.93</v>
      </c>
      <c r="AD477">
        <v>0.93</v>
      </c>
      <c r="AE477">
        <v>1.1000000000000001</v>
      </c>
      <c r="AF477">
        <v>0.5</v>
      </c>
      <c r="AG477" t="str">
        <f t="shared" si="413"/>
        <v>205</v>
      </c>
      <c r="AH477" t="str">
        <f t="shared" si="414"/>
        <v>（株）ムロコーポレーション</v>
      </c>
      <c r="AI477" t="str">
        <f>"288"</f>
        <v>288</v>
      </c>
      <c r="AJ477" t="str">
        <f>"S-SM-1-17"</f>
        <v>S-SM-1-17</v>
      </c>
      <c r="AK477" t="str">
        <f>"10333"</f>
        <v>10333</v>
      </c>
      <c r="AL477" t="str">
        <f t="shared" si="436"/>
        <v>0370</v>
      </c>
      <c r="AM477" t="str">
        <f t="shared" si="437"/>
        <v>ｼﾑ</v>
      </c>
      <c r="AN477" t="str">
        <f t="shared" si="415"/>
        <v>012</v>
      </c>
      <c r="AO477" t="str">
        <f t="shared" si="416"/>
        <v>TP-131 ﾊﾝﾖｳ</v>
      </c>
      <c r="AP477">
        <v>100</v>
      </c>
      <c r="AQ477" t="str">
        <f>""</f>
        <v/>
      </c>
      <c r="AR477" t="str">
        <f>""</f>
        <v/>
      </c>
      <c r="AS477" t="str">
        <f>""</f>
        <v/>
      </c>
      <c r="AT477" t="str">
        <f t="shared" si="417"/>
        <v>00</v>
      </c>
      <c r="AU477">
        <v>0.5</v>
      </c>
      <c r="AV477" t="str">
        <f>""</f>
        <v/>
      </c>
      <c r="AW477" t="str">
        <f t="shared" si="438"/>
        <v>06</v>
      </c>
      <c r="AX477" t="str">
        <f t="shared" si="439"/>
        <v>計画</v>
      </c>
      <c r="AY477" t="str">
        <f t="shared" si="440"/>
        <v>02</v>
      </c>
      <c r="AZ477" t="str">
        <f t="shared" si="441"/>
        <v>計画・２社</v>
      </c>
      <c r="BA477" t="str">
        <f>""</f>
        <v/>
      </c>
      <c r="BB477" t="str">
        <f t="shared" si="418"/>
        <v>ＴＰ１３１フタナシ</v>
      </c>
      <c r="BC477" t="str">
        <f t="shared" si="419"/>
        <v xml:space="preserve"> 335.000</v>
      </c>
      <c r="BD477" t="str">
        <f t="shared" si="420"/>
        <v xml:space="preserve"> 168.000</v>
      </c>
      <c r="BE477" t="str">
        <f t="shared" si="421"/>
        <v xml:space="preserve"> 103.000</v>
      </c>
      <c r="BF477" t="str">
        <f t="shared" si="422"/>
        <v xml:space="preserve">   0.006</v>
      </c>
      <c r="BG477" t="str">
        <f t="shared" si="447"/>
        <v xml:space="preserve">   6.500</v>
      </c>
      <c r="BH477" t="str">
        <f t="shared" si="406"/>
        <v>しない</v>
      </c>
      <c r="BI477" t="str">
        <f>""</f>
        <v/>
      </c>
      <c r="BJ477" t="str">
        <f t="shared" si="445"/>
        <v>MASTER01</v>
      </c>
      <c r="BK477" t="str">
        <f t="shared" si="446"/>
        <v>2022/04/19</v>
      </c>
      <c r="BL477" t="str">
        <f t="shared" si="433"/>
        <v>NE00</v>
      </c>
      <c r="BM477" t="str">
        <f t="shared" si="434"/>
        <v>１工工務Ｇ</v>
      </c>
      <c r="BN477" t="str">
        <f t="shared" si="442"/>
        <v>46548</v>
      </c>
      <c r="BO477" t="str">
        <f t="shared" si="443"/>
        <v>長畑　玲奈</v>
      </c>
    </row>
    <row r="478" spans="1:67">
      <c r="A478" t="s">
        <v>560</v>
      </c>
      <c r="B478" t="str">
        <f>""</f>
        <v/>
      </c>
      <c r="C478" t="str">
        <f>""</f>
        <v/>
      </c>
      <c r="D478" t="str">
        <f t="shared" si="435"/>
        <v>SHIM</v>
      </c>
      <c r="E478" t="str">
        <f t="shared" si="423"/>
        <v>1Y</v>
      </c>
      <c r="F478" t="str">
        <f t="shared" si="424"/>
        <v>第１工場</v>
      </c>
      <c r="G478" t="str">
        <f t="shared" si="425"/>
        <v>手配</v>
      </c>
      <c r="H478" t="str">
        <f t="shared" si="426"/>
        <v>Ｐ</v>
      </c>
      <c r="I478" t="str">
        <f t="shared" si="411"/>
        <v>6454</v>
      </c>
      <c r="J478" t="str">
        <f t="shared" si="412"/>
        <v>（株）ムロコーポレーション</v>
      </c>
      <c r="K478" t="str">
        <f t="shared" si="410"/>
        <v>01</v>
      </c>
      <c r="L478" t="str">
        <f>""</f>
        <v/>
      </c>
      <c r="M478" t="str">
        <f t="shared" si="407"/>
        <v>――</v>
      </c>
      <c r="N478" t="str">
        <f t="shared" si="407"/>
        <v>――</v>
      </c>
      <c r="O478" t="str">
        <f t="shared" si="427"/>
        <v>Ｍ</v>
      </c>
      <c r="P478" t="str">
        <f t="shared" si="428"/>
        <v>01</v>
      </c>
      <c r="Q478" t="str">
        <f t="shared" si="429"/>
        <v>第１</v>
      </c>
      <c r="R478" t="str">
        <f t="shared" si="430"/>
        <v>1Y</v>
      </c>
      <c r="S478" t="str">
        <f t="shared" si="431"/>
        <v>安城第１工場</v>
      </c>
      <c r="T478" t="str">
        <f t="shared" si="432"/>
        <v>直接</v>
      </c>
      <c r="U478" t="str">
        <f>""</f>
        <v/>
      </c>
      <c r="V478" t="str">
        <f>""</f>
        <v/>
      </c>
      <c r="W478" t="str">
        <f>""</f>
        <v/>
      </c>
      <c r="X478">
        <v>1</v>
      </c>
      <c r="Y478">
        <v>1</v>
      </c>
      <c r="Z478">
        <v>0.73</v>
      </c>
      <c r="AA478">
        <v>0.93</v>
      </c>
      <c r="AB478">
        <v>3</v>
      </c>
      <c r="AC478">
        <v>0.93</v>
      </c>
      <c r="AD478">
        <v>0.93</v>
      </c>
      <c r="AE478">
        <v>1.1000000000000001</v>
      </c>
      <c r="AF478">
        <v>0.5</v>
      </c>
      <c r="AG478" t="str">
        <f t="shared" si="413"/>
        <v>205</v>
      </c>
      <c r="AH478" t="str">
        <f t="shared" si="414"/>
        <v>（株）ムロコーポレーション</v>
      </c>
      <c r="AI478" t="str">
        <f>"289"</f>
        <v>289</v>
      </c>
      <c r="AJ478" t="str">
        <f>"S-SM-1-18"</f>
        <v>S-SM-1-18</v>
      </c>
      <c r="AK478" t="str">
        <f>"10334"</f>
        <v>10334</v>
      </c>
      <c r="AL478" t="str">
        <f t="shared" si="436"/>
        <v>0370</v>
      </c>
      <c r="AM478" t="str">
        <f t="shared" si="437"/>
        <v>ｼﾑ</v>
      </c>
      <c r="AN478" t="str">
        <f t="shared" si="415"/>
        <v>012</v>
      </c>
      <c r="AO478" t="str">
        <f t="shared" si="416"/>
        <v>TP-131 ﾊﾝﾖｳ</v>
      </c>
      <c r="AP478">
        <v>100</v>
      </c>
      <c r="AQ478" t="str">
        <f>""</f>
        <v/>
      </c>
      <c r="AR478" t="str">
        <f>""</f>
        <v/>
      </c>
      <c r="AS478" t="str">
        <f>""</f>
        <v/>
      </c>
      <c r="AT478" t="str">
        <f t="shared" si="417"/>
        <v>00</v>
      </c>
      <c r="AU478">
        <v>0.5</v>
      </c>
      <c r="AV478" t="str">
        <f>""</f>
        <v/>
      </c>
      <c r="AW478" t="str">
        <f t="shared" si="438"/>
        <v>06</v>
      </c>
      <c r="AX478" t="str">
        <f t="shared" si="439"/>
        <v>計画</v>
      </c>
      <c r="AY478" t="str">
        <f t="shared" si="440"/>
        <v>02</v>
      </c>
      <c r="AZ478" t="str">
        <f t="shared" si="441"/>
        <v>計画・２社</v>
      </c>
      <c r="BA478" t="str">
        <f>""</f>
        <v/>
      </c>
      <c r="BB478" t="str">
        <f t="shared" si="418"/>
        <v>ＴＰ１３１フタナシ</v>
      </c>
      <c r="BC478" t="str">
        <f t="shared" si="419"/>
        <v xml:space="preserve"> 335.000</v>
      </c>
      <c r="BD478" t="str">
        <f t="shared" si="420"/>
        <v xml:space="preserve"> 168.000</v>
      </c>
      <c r="BE478" t="str">
        <f t="shared" si="421"/>
        <v xml:space="preserve"> 103.000</v>
      </c>
      <c r="BF478" t="str">
        <f t="shared" si="422"/>
        <v xml:space="preserve">   0.006</v>
      </c>
      <c r="BG478" t="str">
        <f t="shared" si="447"/>
        <v xml:space="preserve">   6.500</v>
      </c>
      <c r="BH478" t="str">
        <f t="shared" si="406"/>
        <v>しない</v>
      </c>
      <c r="BI478" t="str">
        <f>""</f>
        <v/>
      </c>
      <c r="BJ478" t="str">
        <f t="shared" si="445"/>
        <v>MASTER01</v>
      </c>
      <c r="BK478" t="str">
        <f t="shared" si="446"/>
        <v>2022/04/19</v>
      </c>
      <c r="BL478" t="str">
        <f t="shared" si="433"/>
        <v>NE00</v>
      </c>
      <c r="BM478" t="str">
        <f t="shared" si="434"/>
        <v>１工工務Ｇ</v>
      </c>
      <c r="BN478" t="str">
        <f t="shared" si="442"/>
        <v>46548</v>
      </c>
      <c r="BO478" t="str">
        <f t="shared" si="443"/>
        <v>長畑　玲奈</v>
      </c>
    </row>
    <row r="479" spans="1:67">
      <c r="A479" t="s">
        <v>561</v>
      </c>
      <c r="B479" t="str">
        <f>""</f>
        <v/>
      </c>
      <c r="C479" t="str">
        <f>""</f>
        <v/>
      </c>
      <c r="D479" t="str">
        <f t="shared" si="435"/>
        <v>SHIM</v>
      </c>
      <c r="E479" t="str">
        <f t="shared" si="423"/>
        <v>1Y</v>
      </c>
      <c r="F479" t="str">
        <f t="shared" si="424"/>
        <v>第１工場</v>
      </c>
      <c r="G479" t="str">
        <f t="shared" si="425"/>
        <v>手配</v>
      </c>
      <c r="H479" t="str">
        <f t="shared" si="426"/>
        <v>Ｐ</v>
      </c>
      <c r="I479" t="str">
        <f t="shared" si="411"/>
        <v>6454</v>
      </c>
      <c r="J479" t="str">
        <f t="shared" si="412"/>
        <v>（株）ムロコーポレーション</v>
      </c>
      <c r="K479" t="str">
        <f t="shared" si="410"/>
        <v>01</v>
      </c>
      <c r="L479" t="str">
        <f>""</f>
        <v/>
      </c>
      <c r="M479" t="str">
        <f t="shared" si="407"/>
        <v>――</v>
      </c>
      <c r="N479" t="str">
        <f t="shared" si="407"/>
        <v>――</v>
      </c>
      <c r="O479" t="str">
        <f t="shared" si="427"/>
        <v>Ｍ</v>
      </c>
      <c r="P479" t="str">
        <f t="shared" si="428"/>
        <v>01</v>
      </c>
      <c r="Q479" t="str">
        <f t="shared" si="429"/>
        <v>第１</v>
      </c>
      <c r="R479" t="str">
        <f t="shared" si="430"/>
        <v>1Y</v>
      </c>
      <c r="S479" t="str">
        <f t="shared" si="431"/>
        <v>安城第１工場</v>
      </c>
      <c r="T479" t="str">
        <f t="shared" si="432"/>
        <v>直接</v>
      </c>
      <c r="U479" t="str">
        <f>""</f>
        <v/>
      </c>
      <c r="V479" t="str">
        <f>""</f>
        <v/>
      </c>
      <c r="W479" t="str">
        <f>""</f>
        <v/>
      </c>
      <c r="X479">
        <v>1</v>
      </c>
      <c r="Y479">
        <v>1</v>
      </c>
      <c r="Z479">
        <v>0.73</v>
      </c>
      <c r="AA479">
        <v>0.93</v>
      </c>
      <c r="AB479">
        <v>3</v>
      </c>
      <c r="AC479">
        <v>0.93</v>
      </c>
      <c r="AD479">
        <v>0.93</v>
      </c>
      <c r="AE479">
        <v>1.1000000000000001</v>
      </c>
      <c r="AF479">
        <v>0.5</v>
      </c>
      <c r="AG479" t="str">
        <f t="shared" si="413"/>
        <v>205</v>
      </c>
      <c r="AH479" t="str">
        <f t="shared" si="414"/>
        <v>（株）ムロコーポレーション</v>
      </c>
      <c r="AI479" t="str">
        <f>"290"</f>
        <v>290</v>
      </c>
      <c r="AJ479" t="str">
        <f>"S-SM-1-19"</f>
        <v>S-SM-1-19</v>
      </c>
      <c r="AK479" t="str">
        <f>"10335"</f>
        <v>10335</v>
      </c>
      <c r="AL479" t="str">
        <f t="shared" si="436"/>
        <v>0370</v>
      </c>
      <c r="AM479" t="str">
        <f t="shared" si="437"/>
        <v>ｼﾑ</v>
      </c>
      <c r="AN479" t="str">
        <f t="shared" si="415"/>
        <v>012</v>
      </c>
      <c r="AO479" t="str">
        <f t="shared" si="416"/>
        <v>TP-131 ﾊﾝﾖｳ</v>
      </c>
      <c r="AP479">
        <v>100</v>
      </c>
      <c r="AQ479" t="str">
        <f>""</f>
        <v/>
      </c>
      <c r="AR479" t="str">
        <f>""</f>
        <v/>
      </c>
      <c r="AS479" t="str">
        <f>""</f>
        <v/>
      </c>
      <c r="AT479" t="str">
        <f t="shared" si="417"/>
        <v>00</v>
      </c>
      <c r="AU479">
        <v>0.5</v>
      </c>
      <c r="AV479" t="str">
        <f>""</f>
        <v/>
      </c>
      <c r="AW479" t="str">
        <f t="shared" si="438"/>
        <v>06</v>
      </c>
      <c r="AX479" t="str">
        <f t="shared" si="439"/>
        <v>計画</v>
      </c>
      <c r="AY479" t="str">
        <f t="shared" si="440"/>
        <v>02</v>
      </c>
      <c r="AZ479" t="str">
        <f t="shared" si="441"/>
        <v>計画・２社</v>
      </c>
      <c r="BA479" t="str">
        <f>""</f>
        <v/>
      </c>
      <c r="BB479" t="str">
        <f t="shared" si="418"/>
        <v>ＴＰ１３１フタナシ</v>
      </c>
      <c r="BC479" t="str">
        <f t="shared" si="419"/>
        <v xml:space="preserve"> 335.000</v>
      </c>
      <c r="BD479" t="str">
        <f t="shared" si="420"/>
        <v xml:space="preserve"> 168.000</v>
      </c>
      <c r="BE479" t="str">
        <f t="shared" si="421"/>
        <v xml:space="preserve"> 103.000</v>
      </c>
      <c r="BF479" t="str">
        <f t="shared" si="422"/>
        <v xml:space="preserve">   0.006</v>
      </c>
      <c r="BG479" t="str">
        <f t="shared" si="447"/>
        <v xml:space="preserve">   6.500</v>
      </c>
      <c r="BH479" t="str">
        <f t="shared" si="406"/>
        <v>しない</v>
      </c>
      <c r="BI479" t="str">
        <f>""</f>
        <v/>
      </c>
      <c r="BJ479" t="str">
        <f t="shared" si="445"/>
        <v>MASTER01</v>
      </c>
      <c r="BK479" t="str">
        <f t="shared" si="446"/>
        <v>2022/04/19</v>
      </c>
      <c r="BL479" t="str">
        <f t="shared" si="433"/>
        <v>NE00</v>
      </c>
      <c r="BM479" t="str">
        <f t="shared" si="434"/>
        <v>１工工務Ｇ</v>
      </c>
      <c r="BN479" t="str">
        <f t="shared" si="442"/>
        <v>46548</v>
      </c>
      <c r="BO479" t="str">
        <f t="shared" si="443"/>
        <v>長畑　玲奈</v>
      </c>
    </row>
    <row r="480" spans="1:67">
      <c r="A480" t="s">
        <v>562</v>
      </c>
      <c r="B480" t="str">
        <f>""</f>
        <v/>
      </c>
      <c r="C480" t="str">
        <f>""</f>
        <v/>
      </c>
      <c r="D480" t="str">
        <f t="shared" si="435"/>
        <v>SHIM</v>
      </c>
      <c r="E480" t="str">
        <f t="shared" si="423"/>
        <v>1Y</v>
      </c>
      <c r="F480" t="str">
        <f t="shared" si="424"/>
        <v>第１工場</v>
      </c>
      <c r="G480" t="str">
        <f t="shared" si="425"/>
        <v>手配</v>
      </c>
      <c r="H480" t="str">
        <f t="shared" si="426"/>
        <v>Ｐ</v>
      </c>
      <c r="I480" t="str">
        <f t="shared" si="411"/>
        <v>6454</v>
      </c>
      <c r="J480" t="str">
        <f t="shared" si="412"/>
        <v>（株）ムロコーポレーション</v>
      </c>
      <c r="K480" t="str">
        <f t="shared" si="410"/>
        <v>01</v>
      </c>
      <c r="L480" t="str">
        <f>""</f>
        <v/>
      </c>
      <c r="M480" t="str">
        <f t="shared" si="407"/>
        <v>――</v>
      </c>
      <c r="N480" t="str">
        <f t="shared" si="407"/>
        <v>――</v>
      </c>
      <c r="O480" t="str">
        <f t="shared" si="427"/>
        <v>Ｍ</v>
      </c>
      <c r="P480" t="str">
        <f t="shared" si="428"/>
        <v>01</v>
      </c>
      <c r="Q480" t="str">
        <f t="shared" si="429"/>
        <v>第１</v>
      </c>
      <c r="R480" t="str">
        <f t="shared" si="430"/>
        <v>1Y</v>
      </c>
      <c r="S480" t="str">
        <f t="shared" si="431"/>
        <v>安城第１工場</v>
      </c>
      <c r="T480" t="str">
        <f t="shared" si="432"/>
        <v>直接</v>
      </c>
      <c r="U480" t="str">
        <f>""</f>
        <v/>
      </c>
      <c r="V480" t="str">
        <f>""</f>
        <v/>
      </c>
      <c r="W480" t="str">
        <f>""</f>
        <v/>
      </c>
      <c r="X480">
        <v>1</v>
      </c>
      <c r="Y480">
        <v>1</v>
      </c>
      <c r="Z480">
        <v>0.73</v>
      </c>
      <c r="AA480">
        <v>0.93</v>
      </c>
      <c r="AB480">
        <v>3</v>
      </c>
      <c r="AC480">
        <v>0.93</v>
      </c>
      <c r="AD480">
        <v>0.93</v>
      </c>
      <c r="AE480">
        <v>1.1000000000000001</v>
      </c>
      <c r="AF480">
        <v>0.5</v>
      </c>
      <c r="AG480" t="str">
        <f t="shared" si="413"/>
        <v>205</v>
      </c>
      <c r="AH480" t="str">
        <f t="shared" si="414"/>
        <v>（株）ムロコーポレーション</v>
      </c>
      <c r="AI480" t="str">
        <f>"291"</f>
        <v>291</v>
      </c>
      <c r="AJ480" t="str">
        <f>"S-SM-3-10"</f>
        <v>S-SM-3-10</v>
      </c>
      <c r="AK480" t="str">
        <f>"10336"</f>
        <v>10336</v>
      </c>
      <c r="AL480" t="str">
        <f t="shared" si="436"/>
        <v>0370</v>
      </c>
      <c r="AM480" t="str">
        <f t="shared" si="437"/>
        <v>ｼﾑ</v>
      </c>
      <c r="AN480" t="str">
        <f t="shared" si="415"/>
        <v>012</v>
      </c>
      <c r="AO480" t="str">
        <f t="shared" si="416"/>
        <v>TP-131 ﾊﾝﾖｳ</v>
      </c>
      <c r="AP480">
        <v>100</v>
      </c>
      <c r="AQ480" t="str">
        <f>""</f>
        <v/>
      </c>
      <c r="AR480" t="str">
        <f>""</f>
        <v/>
      </c>
      <c r="AS480" t="str">
        <f>""</f>
        <v/>
      </c>
      <c r="AT480" t="str">
        <f t="shared" si="417"/>
        <v>00</v>
      </c>
      <c r="AU480">
        <v>0.5</v>
      </c>
      <c r="AV480" t="str">
        <f>""</f>
        <v/>
      </c>
      <c r="AW480" t="str">
        <f t="shared" si="438"/>
        <v>06</v>
      </c>
      <c r="AX480" t="str">
        <f t="shared" si="439"/>
        <v>計画</v>
      </c>
      <c r="AY480" t="str">
        <f t="shared" si="440"/>
        <v>02</v>
      </c>
      <c r="AZ480" t="str">
        <f t="shared" si="441"/>
        <v>計画・２社</v>
      </c>
      <c r="BA480" t="str">
        <f>""</f>
        <v/>
      </c>
      <c r="BB480" t="str">
        <f t="shared" si="418"/>
        <v>ＴＰ１３１フタナシ</v>
      </c>
      <c r="BC480" t="str">
        <f t="shared" si="419"/>
        <v xml:space="preserve"> 335.000</v>
      </c>
      <c r="BD480" t="str">
        <f t="shared" si="420"/>
        <v xml:space="preserve"> 168.000</v>
      </c>
      <c r="BE480" t="str">
        <f t="shared" si="421"/>
        <v xml:space="preserve"> 103.000</v>
      </c>
      <c r="BF480" t="str">
        <f t="shared" si="422"/>
        <v xml:space="preserve">   0.006</v>
      </c>
      <c r="BG480" t="str">
        <f t="shared" si="447"/>
        <v xml:space="preserve">   6.500</v>
      </c>
      <c r="BH480" t="str">
        <f t="shared" si="406"/>
        <v>しない</v>
      </c>
      <c r="BI480" t="str">
        <f>""</f>
        <v/>
      </c>
      <c r="BJ480" t="str">
        <f t="shared" si="445"/>
        <v>MASTER01</v>
      </c>
      <c r="BK480" t="str">
        <f t="shared" si="446"/>
        <v>2022/04/19</v>
      </c>
      <c r="BL480" t="str">
        <f t="shared" si="433"/>
        <v>NE00</v>
      </c>
      <c r="BM480" t="str">
        <f t="shared" si="434"/>
        <v>１工工務Ｇ</v>
      </c>
      <c r="BN480" t="str">
        <f t="shared" si="442"/>
        <v>46548</v>
      </c>
      <c r="BO480" t="str">
        <f t="shared" si="443"/>
        <v>長畑　玲奈</v>
      </c>
    </row>
    <row r="481" spans="1:67">
      <c r="A481" t="s">
        <v>563</v>
      </c>
      <c r="B481" t="str">
        <f>""</f>
        <v/>
      </c>
      <c r="C481" t="str">
        <f>""</f>
        <v/>
      </c>
      <c r="D481" t="str">
        <f t="shared" si="435"/>
        <v>SHIM</v>
      </c>
      <c r="E481" t="str">
        <f t="shared" si="423"/>
        <v>1Y</v>
      </c>
      <c r="F481" t="str">
        <f t="shared" si="424"/>
        <v>第１工場</v>
      </c>
      <c r="G481" t="str">
        <f t="shared" si="425"/>
        <v>手配</v>
      </c>
      <c r="H481" t="str">
        <f t="shared" si="426"/>
        <v>Ｐ</v>
      </c>
      <c r="I481" t="str">
        <f t="shared" si="411"/>
        <v>6454</v>
      </c>
      <c r="J481" t="str">
        <f t="shared" si="412"/>
        <v>（株）ムロコーポレーション</v>
      </c>
      <c r="K481" t="str">
        <f t="shared" si="410"/>
        <v>01</v>
      </c>
      <c r="L481" t="str">
        <f>""</f>
        <v/>
      </c>
      <c r="M481" t="str">
        <f t="shared" si="407"/>
        <v>――</v>
      </c>
      <c r="N481" t="str">
        <f t="shared" si="407"/>
        <v>――</v>
      </c>
      <c r="O481" t="str">
        <f t="shared" si="427"/>
        <v>Ｍ</v>
      </c>
      <c r="P481" t="str">
        <f t="shared" si="428"/>
        <v>01</v>
      </c>
      <c r="Q481" t="str">
        <f t="shared" si="429"/>
        <v>第１</v>
      </c>
      <c r="R481" t="str">
        <f t="shared" si="430"/>
        <v>1Y</v>
      </c>
      <c r="S481" t="str">
        <f t="shared" si="431"/>
        <v>安城第１工場</v>
      </c>
      <c r="T481" t="str">
        <f t="shared" si="432"/>
        <v>直接</v>
      </c>
      <c r="U481" t="str">
        <f>""</f>
        <v/>
      </c>
      <c r="V481" t="str">
        <f>""</f>
        <v/>
      </c>
      <c r="W481" t="str">
        <f>""</f>
        <v/>
      </c>
      <c r="X481">
        <v>1</v>
      </c>
      <c r="Y481">
        <v>1</v>
      </c>
      <c r="Z481">
        <v>0.73</v>
      </c>
      <c r="AA481">
        <v>0.93</v>
      </c>
      <c r="AB481">
        <v>3</v>
      </c>
      <c r="AC481">
        <v>0.93</v>
      </c>
      <c r="AD481">
        <v>0.93</v>
      </c>
      <c r="AE481">
        <v>1.1000000000000001</v>
      </c>
      <c r="AF481">
        <v>0.5</v>
      </c>
      <c r="AG481" t="str">
        <f t="shared" si="413"/>
        <v>205</v>
      </c>
      <c r="AH481" t="str">
        <f t="shared" si="414"/>
        <v>（株）ムロコーポレーション</v>
      </c>
      <c r="AI481" t="str">
        <f>"292"</f>
        <v>292</v>
      </c>
      <c r="AJ481" t="str">
        <f>"S-SM-3-11"</f>
        <v>S-SM-3-11</v>
      </c>
      <c r="AK481" t="str">
        <f>"10337"</f>
        <v>10337</v>
      </c>
      <c r="AL481" t="str">
        <f t="shared" si="436"/>
        <v>0370</v>
      </c>
      <c r="AM481" t="str">
        <f t="shared" si="437"/>
        <v>ｼﾑ</v>
      </c>
      <c r="AN481" t="str">
        <f t="shared" si="415"/>
        <v>012</v>
      </c>
      <c r="AO481" t="str">
        <f t="shared" si="416"/>
        <v>TP-131 ﾊﾝﾖｳ</v>
      </c>
      <c r="AP481">
        <v>100</v>
      </c>
      <c r="AQ481" t="str">
        <f>""</f>
        <v/>
      </c>
      <c r="AR481" t="str">
        <f>""</f>
        <v/>
      </c>
      <c r="AS481" t="str">
        <f>""</f>
        <v/>
      </c>
      <c r="AT481" t="str">
        <f t="shared" si="417"/>
        <v>00</v>
      </c>
      <c r="AU481">
        <v>0.5</v>
      </c>
      <c r="AV481" t="str">
        <f>""</f>
        <v/>
      </c>
      <c r="AW481" t="str">
        <f t="shared" si="438"/>
        <v>06</v>
      </c>
      <c r="AX481" t="str">
        <f t="shared" si="439"/>
        <v>計画</v>
      </c>
      <c r="AY481" t="str">
        <f t="shared" si="440"/>
        <v>02</v>
      </c>
      <c r="AZ481" t="str">
        <f t="shared" si="441"/>
        <v>計画・２社</v>
      </c>
      <c r="BA481" t="str">
        <f>""</f>
        <v/>
      </c>
      <c r="BB481" t="str">
        <f t="shared" si="418"/>
        <v>ＴＰ１３１フタナシ</v>
      </c>
      <c r="BC481" t="str">
        <f t="shared" si="419"/>
        <v xml:space="preserve"> 335.000</v>
      </c>
      <c r="BD481" t="str">
        <f t="shared" si="420"/>
        <v xml:space="preserve"> 168.000</v>
      </c>
      <c r="BE481" t="str">
        <f t="shared" si="421"/>
        <v xml:space="preserve"> 103.000</v>
      </c>
      <c r="BF481" t="str">
        <f t="shared" si="422"/>
        <v xml:space="preserve">   0.006</v>
      </c>
      <c r="BG481" t="str">
        <f t="shared" si="447"/>
        <v xml:space="preserve">   6.500</v>
      </c>
      <c r="BH481" t="str">
        <f t="shared" si="406"/>
        <v>しない</v>
      </c>
      <c r="BI481" t="str">
        <f>""</f>
        <v/>
      </c>
      <c r="BJ481" t="str">
        <f t="shared" si="445"/>
        <v>MASTER01</v>
      </c>
      <c r="BK481" t="str">
        <f t="shared" si="446"/>
        <v>2022/04/19</v>
      </c>
      <c r="BL481" t="str">
        <f t="shared" si="433"/>
        <v>NE00</v>
      </c>
      <c r="BM481" t="str">
        <f t="shared" si="434"/>
        <v>１工工務Ｇ</v>
      </c>
      <c r="BN481" t="str">
        <f t="shared" si="442"/>
        <v>46548</v>
      </c>
      <c r="BO481" t="str">
        <f t="shared" si="443"/>
        <v>長畑　玲奈</v>
      </c>
    </row>
    <row r="482" spans="1:67">
      <c r="A482" t="s">
        <v>564</v>
      </c>
      <c r="B482" t="str">
        <f>""</f>
        <v/>
      </c>
      <c r="C482" t="str">
        <f>""</f>
        <v/>
      </c>
      <c r="D482" t="str">
        <f t="shared" si="435"/>
        <v>SHIM</v>
      </c>
      <c r="E482" t="str">
        <f t="shared" si="423"/>
        <v>1Y</v>
      </c>
      <c r="F482" t="str">
        <f t="shared" si="424"/>
        <v>第１工場</v>
      </c>
      <c r="G482" t="str">
        <f t="shared" si="425"/>
        <v>手配</v>
      </c>
      <c r="H482" t="str">
        <f t="shared" si="426"/>
        <v>Ｐ</v>
      </c>
      <c r="I482" t="str">
        <f t="shared" si="411"/>
        <v>6454</v>
      </c>
      <c r="J482" t="str">
        <f t="shared" si="412"/>
        <v>（株）ムロコーポレーション</v>
      </c>
      <c r="K482" t="str">
        <f t="shared" si="410"/>
        <v>01</v>
      </c>
      <c r="L482" t="str">
        <f>""</f>
        <v/>
      </c>
      <c r="M482" t="str">
        <f t="shared" si="407"/>
        <v>――</v>
      </c>
      <c r="N482" t="str">
        <f t="shared" si="407"/>
        <v>――</v>
      </c>
      <c r="O482" t="str">
        <f t="shared" si="427"/>
        <v>Ｍ</v>
      </c>
      <c r="P482" t="str">
        <f t="shared" si="428"/>
        <v>01</v>
      </c>
      <c r="Q482" t="str">
        <f t="shared" si="429"/>
        <v>第１</v>
      </c>
      <c r="R482" t="str">
        <f t="shared" si="430"/>
        <v>1Y</v>
      </c>
      <c r="S482" t="str">
        <f t="shared" si="431"/>
        <v>安城第１工場</v>
      </c>
      <c r="T482" t="str">
        <f t="shared" si="432"/>
        <v>直接</v>
      </c>
      <c r="U482" t="str">
        <f>""</f>
        <v/>
      </c>
      <c r="V482" t="str">
        <f>""</f>
        <v/>
      </c>
      <c r="W482" t="str">
        <f>""</f>
        <v/>
      </c>
      <c r="X482">
        <v>1</v>
      </c>
      <c r="Y482">
        <v>1</v>
      </c>
      <c r="Z482">
        <v>0.73</v>
      </c>
      <c r="AA482">
        <v>0.93</v>
      </c>
      <c r="AB482">
        <v>3</v>
      </c>
      <c r="AC482">
        <v>0.93</v>
      </c>
      <c r="AD482">
        <v>0.93</v>
      </c>
      <c r="AE482">
        <v>1.1000000000000001</v>
      </c>
      <c r="AF482">
        <v>0.5</v>
      </c>
      <c r="AG482" t="str">
        <f t="shared" si="413"/>
        <v>205</v>
      </c>
      <c r="AH482" t="str">
        <f t="shared" si="414"/>
        <v>（株）ムロコーポレーション</v>
      </c>
      <c r="AI482" t="str">
        <f>"293"</f>
        <v>293</v>
      </c>
      <c r="AJ482" t="str">
        <f>"S-SM-3-12"</f>
        <v>S-SM-3-12</v>
      </c>
      <c r="AK482" t="str">
        <f>"10338"</f>
        <v>10338</v>
      </c>
      <c r="AL482" t="str">
        <f t="shared" si="436"/>
        <v>0370</v>
      </c>
      <c r="AM482" t="str">
        <f t="shared" si="437"/>
        <v>ｼﾑ</v>
      </c>
      <c r="AN482" t="str">
        <f t="shared" si="415"/>
        <v>012</v>
      </c>
      <c r="AO482" t="str">
        <f t="shared" si="416"/>
        <v>TP-131 ﾊﾝﾖｳ</v>
      </c>
      <c r="AP482">
        <v>100</v>
      </c>
      <c r="AQ482" t="str">
        <f>""</f>
        <v/>
      </c>
      <c r="AR482" t="str">
        <f>""</f>
        <v/>
      </c>
      <c r="AS482" t="str">
        <f>""</f>
        <v/>
      </c>
      <c r="AT482" t="str">
        <f t="shared" si="417"/>
        <v>00</v>
      </c>
      <c r="AU482">
        <v>0.5</v>
      </c>
      <c r="AV482" t="str">
        <f>""</f>
        <v/>
      </c>
      <c r="AW482" t="str">
        <f t="shared" si="438"/>
        <v>06</v>
      </c>
      <c r="AX482" t="str">
        <f t="shared" si="439"/>
        <v>計画</v>
      </c>
      <c r="AY482" t="str">
        <f t="shared" si="440"/>
        <v>02</v>
      </c>
      <c r="AZ482" t="str">
        <f t="shared" si="441"/>
        <v>計画・２社</v>
      </c>
      <c r="BA482" t="str">
        <f>""</f>
        <v/>
      </c>
      <c r="BB482" t="str">
        <f t="shared" si="418"/>
        <v>ＴＰ１３１フタナシ</v>
      </c>
      <c r="BC482" t="str">
        <f t="shared" si="419"/>
        <v xml:space="preserve"> 335.000</v>
      </c>
      <c r="BD482" t="str">
        <f t="shared" si="420"/>
        <v xml:space="preserve"> 168.000</v>
      </c>
      <c r="BE482" t="str">
        <f t="shared" si="421"/>
        <v xml:space="preserve"> 103.000</v>
      </c>
      <c r="BF482" t="str">
        <f t="shared" si="422"/>
        <v xml:space="preserve">   0.006</v>
      </c>
      <c r="BG482" t="str">
        <f t="shared" si="447"/>
        <v xml:space="preserve">   6.500</v>
      </c>
      <c r="BH482" t="str">
        <f t="shared" si="406"/>
        <v>しない</v>
      </c>
      <c r="BI482" t="str">
        <f>""</f>
        <v/>
      </c>
      <c r="BJ482" t="str">
        <f t="shared" si="445"/>
        <v>MASTER01</v>
      </c>
      <c r="BK482" t="str">
        <f t="shared" si="446"/>
        <v>2022/04/19</v>
      </c>
      <c r="BL482" t="str">
        <f t="shared" si="433"/>
        <v>NE00</v>
      </c>
      <c r="BM482" t="str">
        <f t="shared" si="434"/>
        <v>１工工務Ｇ</v>
      </c>
      <c r="BN482" t="str">
        <f t="shared" si="442"/>
        <v>46548</v>
      </c>
      <c r="BO482" t="str">
        <f t="shared" si="443"/>
        <v>長畑　玲奈</v>
      </c>
    </row>
    <row r="483" spans="1:67">
      <c r="A483" t="s">
        <v>565</v>
      </c>
      <c r="B483" t="str">
        <f>""</f>
        <v/>
      </c>
      <c r="C483" t="str">
        <f>""</f>
        <v/>
      </c>
      <c r="D483" t="str">
        <f t="shared" si="435"/>
        <v>SHIM</v>
      </c>
      <c r="E483" t="str">
        <f t="shared" si="423"/>
        <v>1Y</v>
      </c>
      <c r="F483" t="str">
        <f t="shared" si="424"/>
        <v>第１工場</v>
      </c>
      <c r="G483" t="str">
        <f t="shared" si="425"/>
        <v>手配</v>
      </c>
      <c r="H483" t="str">
        <f t="shared" si="426"/>
        <v>Ｐ</v>
      </c>
      <c r="I483" t="str">
        <f t="shared" si="411"/>
        <v>6454</v>
      </c>
      <c r="J483" t="str">
        <f t="shared" si="412"/>
        <v>（株）ムロコーポレーション</v>
      </c>
      <c r="K483" t="str">
        <f t="shared" si="410"/>
        <v>01</v>
      </c>
      <c r="L483" t="str">
        <f>""</f>
        <v/>
      </c>
      <c r="M483" t="str">
        <f t="shared" si="407"/>
        <v>――</v>
      </c>
      <c r="N483" t="str">
        <f t="shared" si="407"/>
        <v>――</v>
      </c>
      <c r="O483" t="str">
        <f t="shared" si="427"/>
        <v>Ｍ</v>
      </c>
      <c r="P483" t="str">
        <f t="shared" si="428"/>
        <v>01</v>
      </c>
      <c r="Q483" t="str">
        <f t="shared" si="429"/>
        <v>第１</v>
      </c>
      <c r="R483" t="str">
        <f t="shared" si="430"/>
        <v>1Y</v>
      </c>
      <c r="S483" t="str">
        <f t="shared" si="431"/>
        <v>安城第１工場</v>
      </c>
      <c r="T483" t="str">
        <f t="shared" si="432"/>
        <v>直接</v>
      </c>
      <c r="U483" t="str">
        <f>""</f>
        <v/>
      </c>
      <c r="V483" t="str">
        <f>""</f>
        <v/>
      </c>
      <c r="W483" t="str">
        <f>""</f>
        <v/>
      </c>
      <c r="X483">
        <v>1</v>
      </c>
      <c r="Y483">
        <v>1</v>
      </c>
      <c r="Z483">
        <v>0.73</v>
      </c>
      <c r="AA483">
        <v>0.93</v>
      </c>
      <c r="AB483">
        <v>3</v>
      </c>
      <c r="AC483">
        <v>0.93</v>
      </c>
      <c r="AD483">
        <v>0.93</v>
      </c>
      <c r="AE483">
        <v>1.1000000000000001</v>
      </c>
      <c r="AF483">
        <v>0.5</v>
      </c>
      <c r="AG483" t="str">
        <f t="shared" si="413"/>
        <v>205</v>
      </c>
      <c r="AH483" t="str">
        <f t="shared" si="414"/>
        <v>（株）ムロコーポレーション</v>
      </c>
      <c r="AI483" t="str">
        <f>"294"</f>
        <v>294</v>
      </c>
      <c r="AJ483" t="str">
        <f>"S-SM-3-13"</f>
        <v>S-SM-3-13</v>
      </c>
      <c r="AK483" t="str">
        <f>"10339"</f>
        <v>10339</v>
      </c>
      <c r="AL483" t="str">
        <f t="shared" si="436"/>
        <v>0370</v>
      </c>
      <c r="AM483" t="str">
        <f t="shared" si="437"/>
        <v>ｼﾑ</v>
      </c>
      <c r="AN483" t="str">
        <f t="shared" si="415"/>
        <v>012</v>
      </c>
      <c r="AO483" t="str">
        <f t="shared" si="416"/>
        <v>TP-131 ﾊﾝﾖｳ</v>
      </c>
      <c r="AP483">
        <v>100</v>
      </c>
      <c r="AQ483" t="str">
        <f>""</f>
        <v/>
      </c>
      <c r="AR483" t="str">
        <f>""</f>
        <v/>
      </c>
      <c r="AS483" t="str">
        <f>""</f>
        <v/>
      </c>
      <c r="AT483" t="str">
        <f t="shared" si="417"/>
        <v>00</v>
      </c>
      <c r="AU483">
        <v>0.5</v>
      </c>
      <c r="AV483" t="str">
        <f>""</f>
        <v/>
      </c>
      <c r="AW483" t="str">
        <f t="shared" si="438"/>
        <v>06</v>
      </c>
      <c r="AX483" t="str">
        <f t="shared" si="439"/>
        <v>計画</v>
      </c>
      <c r="AY483" t="str">
        <f t="shared" si="440"/>
        <v>02</v>
      </c>
      <c r="AZ483" t="str">
        <f t="shared" si="441"/>
        <v>計画・２社</v>
      </c>
      <c r="BA483" t="str">
        <f>""</f>
        <v/>
      </c>
      <c r="BB483" t="str">
        <f t="shared" si="418"/>
        <v>ＴＰ１３１フタナシ</v>
      </c>
      <c r="BC483" t="str">
        <f t="shared" si="419"/>
        <v xml:space="preserve"> 335.000</v>
      </c>
      <c r="BD483" t="str">
        <f t="shared" si="420"/>
        <v xml:space="preserve"> 168.000</v>
      </c>
      <c r="BE483" t="str">
        <f t="shared" si="421"/>
        <v xml:space="preserve"> 103.000</v>
      </c>
      <c r="BF483" t="str">
        <f t="shared" si="422"/>
        <v xml:space="preserve">   0.006</v>
      </c>
      <c r="BG483" t="str">
        <f t="shared" si="447"/>
        <v xml:space="preserve">   6.500</v>
      </c>
      <c r="BH483" t="str">
        <f t="shared" ref="BH483:BH546" si="448">"しない"</f>
        <v>しない</v>
      </c>
      <c r="BI483" t="str">
        <f>""</f>
        <v/>
      </c>
      <c r="BJ483" t="str">
        <f t="shared" si="445"/>
        <v>MASTER01</v>
      </c>
      <c r="BK483" t="str">
        <f t="shared" si="446"/>
        <v>2022/04/19</v>
      </c>
      <c r="BL483" t="str">
        <f t="shared" si="433"/>
        <v>NE00</v>
      </c>
      <c r="BM483" t="str">
        <f t="shared" si="434"/>
        <v>１工工務Ｇ</v>
      </c>
      <c r="BN483" t="str">
        <f t="shared" si="442"/>
        <v>46548</v>
      </c>
      <c r="BO483" t="str">
        <f t="shared" si="443"/>
        <v>長畑　玲奈</v>
      </c>
    </row>
    <row r="484" spans="1:67">
      <c r="A484" t="s">
        <v>566</v>
      </c>
      <c r="B484" t="str">
        <f>""</f>
        <v/>
      </c>
      <c r="C484" t="str">
        <f>""</f>
        <v/>
      </c>
      <c r="D484" t="str">
        <f t="shared" si="435"/>
        <v>SHIM</v>
      </c>
      <c r="E484" t="str">
        <f t="shared" si="423"/>
        <v>1Y</v>
      </c>
      <c r="F484" t="str">
        <f t="shared" si="424"/>
        <v>第１工場</v>
      </c>
      <c r="G484" t="str">
        <f t="shared" si="425"/>
        <v>手配</v>
      </c>
      <c r="H484" t="str">
        <f t="shared" si="426"/>
        <v>Ｐ</v>
      </c>
      <c r="I484" t="str">
        <f t="shared" si="411"/>
        <v>6454</v>
      </c>
      <c r="J484" t="str">
        <f t="shared" si="412"/>
        <v>（株）ムロコーポレーション</v>
      </c>
      <c r="K484" t="str">
        <f t="shared" si="410"/>
        <v>01</v>
      </c>
      <c r="L484" t="str">
        <f>""</f>
        <v/>
      </c>
      <c r="M484" t="str">
        <f t="shared" si="407"/>
        <v>――</v>
      </c>
      <c r="N484" t="str">
        <f t="shared" si="407"/>
        <v>――</v>
      </c>
      <c r="O484" t="str">
        <f t="shared" si="427"/>
        <v>Ｍ</v>
      </c>
      <c r="P484" t="str">
        <f t="shared" si="428"/>
        <v>01</v>
      </c>
      <c r="Q484" t="str">
        <f t="shared" si="429"/>
        <v>第１</v>
      </c>
      <c r="R484" t="str">
        <f t="shared" si="430"/>
        <v>1Y</v>
      </c>
      <c r="S484" t="str">
        <f t="shared" si="431"/>
        <v>安城第１工場</v>
      </c>
      <c r="T484" t="str">
        <f t="shared" si="432"/>
        <v>直接</v>
      </c>
      <c r="U484" t="str">
        <f>""</f>
        <v/>
      </c>
      <c r="V484" t="str">
        <f>""</f>
        <v/>
      </c>
      <c r="W484" t="str">
        <f>""</f>
        <v/>
      </c>
      <c r="X484">
        <v>1</v>
      </c>
      <c r="Y484">
        <v>1</v>
      </c>
      <c r="Z484">
        <v>0.73</v>
      </c>
      <c r="AA484">
        <v>0.93</v>
      </c>
      <c r="AB484">
        <v>3</v>
      </c>
      <c r="AC484">
        <v>0.93</v>
      </c>
      <c r="AD484">
        <v>0.93</v>
      </c>
      <c r="AE484">
        <v>1.1000000000000001</v>
      </c>
      <c r="AF484">
        <v>0.5</v>
      </c>
      <c r="AG484" t="str">
        <f t="shared" si="413"/>
        <v>205</v>
      </c>
      <c r="AH484" t="str">
        <f t="shared" si="414"/>
        <v>（株）ムロコーポレーション</v>
      </c>
      <c r="AI484" t="str">
        <f>"295"</f>
        <v>295</v>
      </c>
      <c r="AJ484" t="str">
        <f>"S-SM-3-14"</f>
        <v>S-SM-3-14</v>
      </c>
      <c r="AK484" t="str">
        <f>"10340"</f>
        <v>10340</v>
      </c>
      <c r="AL484" t="str">
        <f t="shared" si="436"/>
        <v>0370</v>
      </c>
      <c r="AM484" t="str">
        <f t="shared" si="437"/>
        <v>ｼﾑ</v>
      </c>
      <c r="AN484" t="str">
        <f t="shared" si="415"/>
        <v>012</v>
      </c>
      <c r="AO484" t="str">
        <f t="shared" si="416"/>
        <v>TP-131 ﾊﾝﾖｳ</v>
      </c>
      <c r="AP484">
        <v>100</v>
      </c>
      <c r="AQ484" t="str">
        <f>""</f>
        <v/>
      </c>
      <c r="AR484" t="str">
        <f>""</f>
        <v/>
      </c>
      <c r="AS484" t="str">
        <f>""</f>
        <v/>
      </c>
      <c r="AT484" t="str">
        <f t="shared" si="417"/>
        <v>00</v>
      </c>
      <c r="AU484">
        <v>0.5</v>
      </c>
      <c r="AV484" t="str">
        <f>""</f>
        <v/>
      </c>
      <c r="AW484" t="str">
        <f t="shared" si="438"/>
        <v>06</v>
      </c>
      <c r="AX484" t="str">
        <f t="shared" si="439"/>
        <v>計画</v>
      </c>
      <c r="AY484" t="str">
        <f t="shared" si="440"/>
        <v>02</v>
      </c>
      <c r="AZ484" t="str">
        <f t="shared" si="441"/>
        <v>計画・２社</v>
      </c>
      <c r="BA484" t="str">
        <f>""</f>
        <v/>
      </c>
      <c r="BB484" t="str">
        <f t="shared" si="418"/>
        <v>ＴＰ１３１フタナシ</v>
      </c>
      <c r="BC484" t="str">
        <f t="shared" si="419"/>
        <v xml:space="preserve"> 335.000</v>
      </c>
      <c r="BD484" t="str">
        <f t="shared" si="420"/>
        <v xml:space="preserve"> 168.000</v>
      </c>
      <c r="BE484" t="str">
        <f t="shared" si="421"/>
        <v xml:space="preserve"> 103.000</v>
      </c>
      <c r="BF484" t="str">
        <f t="shared" si="422"/>
        <v xml:space="preserve">   0.006</v>
      </c>
      <c r="BG484" t="str">
        <f t="shared" si="447"/>
        <v xml:space="preserve">   6.500</v>
      </c>
      <c r="BH484" t="str">
        <f t="shared" si="448"/>
        <v>しない</v>
      </c>
      <c r="BI484" t="str">
        <f>""</f>
        <v/>
      </c>
      <c r="BJ484" t="str">
        <f t="shared" si="445"/>
        <v>MASTER01</v>
      </c>
      <c r="BK484" t="str">
        <f t="shared" si="446"/>
        <v>2022/04/19</v>
      </c>
      <c r="BL484" t="str">
        <f t="shared" si="433"/>
        <v>NE00</v>
      </c>
      <c r="BM484" t="str">
        <f t="shared" si="434"/>
        <v>１工工務Ｇ</v>
      </c>
      <c r="BN484" t="str">
        <f t="shared" si="442"/>
        <v>46548</v>
      </c>
      <c r="BO484" t="str">
        <f t="shared" si="443"/>
        <v>長畑　玲奈</v>
      </c>
    </row>
    <row r="485" spans="1:67">
      <c r="A485" t="s">
        <v>567</v>
      </c>
      <c r="B485" t="str">
        <f>""</f>
        <v/>
      </c>
      <c r="C485" t="str">
        <f>""</f>
        <v/>
      </c>
      <c r="D485" t="str">
        <f t="shared" si="435"/>
        <v>SHIM</v>
      </c>
      <c r="E485" t="str">
        <f t="shared" si="423"/>
        <v>1Y</v>
      </c>
      <c r="F485" t="str">
        <f t="shared" si="424"/>
        <v>第１工場</v>
      </c>
      <c r="G485" t="str">
        <f t="shared" si="425"/>
        <v>手配</v>
      </c>
      <c r="H485" t="str">
        <f t="shared" si="426"/>
        <v>Ｐ</v>
      </c>
      <c r="I485" t="str">
        <f t="shared" si="411"/>
        <v>6454</v>
      </c>
      <c r="J485" t="str">
        <f t="shared" si="412"/>
        <v>（株）ムロコーポレーション</v>
      </c>
      <c r="K485" t="str">
        <f t="shared" si="410"/>
        <v>01</v>
      </c>
      <c r="L485" t="str">
        <f>""</f>
        <v/>
      </c>
      <c r="M485" t="str">
        <f t="shared" ref="M485:N548" si="449">"――"</f>
        <v>――</v>
      </c>
      <c r="N485" t="str">
        <f t="shared" si="449"/>
        <v>――</v>
      </c>
      <c r="O485" t="str">
        <f t="shared" si="427"/>
        <v>Ｍ</v>
      </c>
      <c r="P485" t="str">
        <f t="shared" si="428"/>
        <v>01</v>
      </c>
      <c r="Q485" t="str">
        <f t="shared" si="429"/>
        <v>第１</v>
      </c>
      <c r="R485" t="str">
        <f t="shared" si="430"/>
        <v>1Y</v>
      </c>
      <c r="S485" t="str">
        <f t="shared" si="431"/>
        <v>安城第１工場</v>
      </c>
      <c r="T485" t="str">
        <f t="shared" si="432"/>
        <v>直接</v>
      </c>
      <c r="U485" t="str">
        <f>""</f>
        <v/>
      </c>
      <c r="V485" t="str">
        <f>""</f>
        <v/>
      </c>
      <c r="W485" t="str">
        <f>""</f>
        <v/>
      </c>
      <c r="X485">
        <v>1</v>
      </c>
      <c r="Y485">
        <v>1</v>
      </c>
      <c r="Z485">
        <v>0.73</v>
      </c>
      <c r="AA485">
        <v>0.93</v>
      </c>
      <c r="AB485">
        <v>3</v>
      </c>
      <c r="AC485">
        <v>0.93</v>
      </c>
      <c r="AD485">
        <v>0.93</v>
      </c>
      <c r="AE485">
        <v>1.1000000000000001</v>
      </c>
      <c r="AF485">
        <v>0.5</v>
      </c>
      <c r="AG485" t="str">
        <f t="shared" si="413"/>
        <v>205</v>
      </c>
      <c r="AH485" t="str">
        <f t="shared" si="414"/>
        <v>（株）ムロコーポレーション</v>
      </c>
      <c r="AI485" t="str">
        <f>"296"</f>
        <v>296</v>
      </c>
      <c r="AJ485" t="str">
        <f>"S-SM-3-15"</f>
        <v>S-SM-3-15</v>
      </c>
      <c r="AK485" t="str">
        <f>"10341"</f>
        <v>10341</v>
      </c>
      <c r="AL485" t="str">
        <f t="shared" si="436"/>
        <v>0370</v>
      </c>
      <c r="AM485" t="str">
        <f t="shared" si="437"/>
        <v>ｼﾑ</v>
      </c>
      <c r="AN485" t="str">
        <f t="shared" si="415"/>
        <v>012</v>
      </c>
      <c r="AO485" t="str">
        <f t="shared" si="416"/>
        <v>TP-131 ﾊﾝﾖｳ</v>
      </c>
      <c r="AP485">
        <v>100</v>
      </c>
      <c r="AQ485" t="str">
        <f>""</f>
        <v/>
      </c>
      <c r="AR485" t="str">
        <f>""</f>
        <v/>
      </c>
      <c r="AS485" t="str">
        <f>""</f>
        <v/>
      </c>
      <c r="AT485" t="str">
        <f t="shared" si="417"/>
        <v>00</v>
      </c>
      <c r="AU485">
        <v>0.5</v>
      </c>
      <c r="AV485" t="str">
        <f>""</f>
        <v/>
      </c>
      <c r="AW485" t="str">
        <f t="shared" si="438"/>
        <v>06</v>
      </c>
      <c r="AX485" t="str">
        <f t="shared" si="439"/>
        <v>計画</v>
      </c>
      <c r="AY485" t="str">
        <f t="shared" si="440"/>
        <v>02</v>
      </c>
      <c r="AZ485" t="str">
        <f t="shared" si="441"/>
        <v>計画・２社</v>
      </c>
      <c r="BA485" t="str">
        <f>""</f>
        <v/>
      </c>
      <c r="BB485" t="str">
        <f t="shared" si="418"/>
        <v>ＴＰ１３１フタナシ</v>
      </c>
      <c r="BC485" t="str">
        <f t="shared" si="419"/>
        <v xml:space="preserve"> 335.000</v>
      </c>
      <c r="BD485" t="str">
        <f t="shared" si="420"/>
        <v xml:space="preserve"> 168.000</v>
      </c>
      <c r="BE485" t="str">
        <f t="shared" si="421"/>
        <v xml:space="preserve"> 103.000</v>
      </c>
      <c r="BF485" t="str">
        <f t="shared" si="422"/>
        <v xml:space="preserve">   0.006</v>
      </c>
      <c r="BG485" t="str">
        <f t="shared" si="447"/>
        <v xml:space="preserve">   6.500</v>
      </c>
      <c r="BH485" t="str">
        <f t="shared" si="448"/>
        <v>しない</v>
      </c>
      <c r="BI485" t="str">
        <f>""</f>
        <v/>
      </c>
      <c r="BJ485" t="str">
        <f t="shared" si="445"/>
        <v>MASTER01</v>
      </c>
      <c r="BK485" t="str">
        <f t="shared" si="446"/>
        <v>2022/04/19</v>
      </c>
      <c r="BL485" t="str">
        <f t="shared" si="433"/>
        <v>NE00</v>
      </c>
      <c r="BM485" t="str">
        <f t="shared" si="434"/>
        <v>１工工務Ｇ</v>
      </c>
      <c r="BN485" t="str">
        <f t="shared" si="442"/>
        <v>46548</v>
      </c>
      <c r="BO485" t="str">
        <f t="shared" si="443"/>
        <v>長畑　玲奈</v>
      </c>
    </row>
    <row r="486" spans="1:67">
      <c r="A486" t="s">
        <v>568</v>
      </c>
      <c r="B486" t="str">
        <f>""</f>
        <v/>
      </c>
      <c r="C486" t="str">
        <f>""</f>
        <v/>
      </c>
      <c r="D486" t="str">
        <f t="shared" si="435"/>
        <v>SHIM</v>
      </c>
      <c r="E486" t="str">
        <f t="shared" si="423"/>
        <v>1Y</v>
      </c>
      <c r="F486" t="str">
        <f t="shared" si="424"/>
        <v>第１工場</v>
      </c>
      <c r="G486" t="str">
        <f t="shared" si="425"/>
        <v>手配</v>
      </c>
      <c r="H486" t="str">
        <f t="shared" si="426"/>
        <v>Ｐ</v>
      </c>
      <c r="I486" t="str">
        <f t="shared" si="411"/>
        <v>6454</v>
      </c>
      <c r="J486" t="str">
        <f t="shared" si="412"/>
        <v>（株）ムロコーポレーション</v>
      </c>
      <c r="K486" t="str">
        <f t="shared" si="410"/>
        <v>01</v>
      </c>
      <c r="L486" t="str">
        <f>""</f>
        <v/>
      </c>
      <c r="M486" t="str">
        <f t="shared" si="449"/>
        <v>――</v>
      </c>
      <c r="N486" t="str">
        <f t="shared" si="449"/>
        <v>――</v>
      </c>
      <c r="O486" t="str">
        <f t="shared" si="427"/>
        <v>Ｍ</v>
      </c>
      <c r="P486" t="str">
        <f t="shared" si="428"/>
        <v>01</v>
      </c>
      <c r="Q486" t="str">
        <f t="shared" si="429"/>
        <v>第１</v>
      </c>
      <c r="R486" t="str">
        <f t="shared" si="430"/>
        <v>1Y</v>
      </c>
      <c r="S486" t="str">
        <f t="shared" si="431"/>
        <v>安城第１工場</v>
      </c>
      <c r="T486" t="str">
        <f t="shared" si="432"/>
        <v>直接</v>
      </c>
      <c r="U486" t="str">
        <f>""</f>
        <v/>
      </c>
      <c r="V486" t="str">
        <f>""</f>
        <v/>
      </c>
      <c r="W486" t="str">
        <f>""</f>
        <v/>
      </c>
      <c r="X486">
        <v>1</v>
      </c>
      <c r="Y486">
        <v>1</v>
      </c>
      <c r="Z486">
        <v>0.73</v>
      </c>
      <c r="AA486">
        <v>0.93</v>
      </c>
      <c r="AB486">
        <v>3</v>
      </c>
      <c r="AC486">
        <v>0.93</v>
      </c>
      <c r="AD486">
        <v>0.93</v>
      </c>
      <c r="AE486">
        <v>1.1000000000000001</v>
      </c>
      <c r="AF486">
        <v>0.5</v>
      </c>
      <c r="AG486" t="str">
        <f t="shared" si="413"/>
        <v>205</v>
      </c>
      <c r="AH486" t="str">
        <f t="shared" si="414"/>
        <v>（株）ムロコーポレーション</v>
      </c>
      <c r="AI486" t="str">
        <f>"297"</f>
        <v>297</v>
      </c>
      <c r="AJ486" t="str">
        <f>"S-SM-3-16"</f>
        <v>S-SM-3-16</v>
      </c>
      <c r="AK486" t="str">
        <f>"10342"</f>
        <v>10342</v>
      </c>
      <c r="AL486" t="str">
        <f t="shared" si="436"/>
        <v>0370</v>
      </c>
      <c r="AM486" t="str">
        <f t="shared" si="437"/>
        <v>ｼﾑ</v>
      </c>
      <c r="AN486" t="str">
        <f t="shared" si="415"/>
        <v>012</v>
      </c>
      <c r="AO486" t="str">
        <f t="shared" si="416"/>
        <v>TP-131 ﾊﾝﾖｳ</v>
      </c>
      <c r="AP486">
        <v>100</v>
      </c>
      <c r="AQ486" t="str">
        <f>""</f>
        <v/>
      </c>
      <c r="AR486" t="str">
        <f>""</f>
        <v/>
      </c>
      <c r="AS486" t="str">
        <f>""</f>
        <v/>
      </c>
      <c r="AT486" t="str">
        <f t="shared" si="417"/>
        <v>00</v>
      </c>
      <c r="AU486">
        <v>0.5</v>
      </c>
      <c r="AV486" t="str">
        <f>""</f>
        <v/>
      </c>
      <c r="AW486" t="str">
        <f t="shared" si="438"/>
        <v>06</v>
      </c>
      <c r="AX486" t="str">
        <f t="shared" si="439"/>
        <v>計画</v>
      </c>
      <c r="AY486" t="str">
        <f t="shared" si="440"/>
        <v>02</v>
      </c>
      <c r="AZ486" t="str">
        <f t="shared" si="441"/>
        <v>計画・２社</v>
      </c>
      <c r="BA486" t="str">
        <f>""</f>
        <v/>
      </c>
      <c r="BB486" t="str">
        <f t="shared" si="418"/>
        <v>ＴＰ１３１フタナシ</v>
      </c>
      <c r="BC486" t="str">
        <f t="shared" si="419"/>
        <v xml:space="preserve"> 335.000</v>
      </c>
      <c r="BD486" t="str">
        <f t="shared" si="420"/>
        <v xml:space="preserve"> 168.000</v>
      </c>
      <c r="BE486" t="str">
        <f t="shared" si="421"/>
        <v xml:space="preserve"> 103.000</v>
      </c>
      <c r="BF486" t="str">
        <f t="shared" si="422"/>
        <v xml:space="preserve">   0.006</v>
      </c>
      <c r="BG486" t="str">
        <f t="shared" si="447"/>
        <v xml:space="preserve">   6.500</v>
      </c>
      <c r="BH486" t="str">
        <f t="shared" si="448"/>
        <v>しない</v>
      </c>
      <c r="BI486" t="str">
        <f>""</f>
        <v/>
      </c>
      <c r="BJ486" t="str">
        <f t="shared" si="445"/>
        <v>MASTER01</v>
      </c>
      <c r="BK486" t="str">
        <f t="shared" si="446"/>
        <v>2022/04/19</v>
      </c>
      <c r="BL486" t="str">
        <f t="shared" si="433"/>
        <v>NE00</v>
      </c>
      <c r="BM486" t="str">
        <f t="shared" si="434"/>
        <v>１工工務Ｇ</v>
      </c>
      <c r="BN486" t="str">
        <f t="shared" si="442"/>
        <v>46548</v>
      </c>
      <c r="BO486" t="str">
        <f t="shared" si="443"/>
        <v>長畑　玲奈</v>
      </c>
    </row>
    <row r="487" spans="1:67">
      <c r="A487" t="s">
        <v>569</v>
      </c>
      <c r="B487" t="str">
        <f>""</f>
        <v/>
      </c>
      <c r="C487" t="str">
        <f>""</f>
        <v/>
      </c>
      <c r="D487" t="str">
        <f t="shared" si="435"/>
        <v>SHIM</v>
      </c>
      <c r="E487" t="str">
        <f t="shared" si="423"/>
        <v>1Y</v>
      </c>
      <c r="F487" t="str">
        <f t="shared" si="424"/>
        <v>第１工場</v>
      </c>
      <c r="G487" t="str">
        <f t="shared" si="425"/>
        <v>手配</v>
      </c>
      <c r="H487" t="str">
        <f t="shared" si="426"/>
        <v>Ｐ</v>
      </c>
      <c r="I487" t="str">
        <f t="shared" si="411"/>
        <v>6454</v>
      </c>
      <c r="J487" t="str">
        <f t="shared" si="412"/>
        <v>（株）ムロコーポレーション</v>
      </c>
      <c r="K487" t="str">
        <f t="shared" si="410"/>
        <v>01</v>
      </c>
      <c r="L487" t="str">
        <f>""</f>
        <v/>
      </c>
      <c r="M487" t="str">
        <f t="shared" si="449"/>
        <v>――</v>
      </c>
      <c r="N487" t="str">
        <f t="shared" si="449"/>
        <v>――</v>
      </c>
      <c r="O487" t="str">
        <f t="shared" si="427"/>
        <v>Ｍ</v>
      </c>
      <c r="P487" t="str">
        <f t="shared" si="428"/>
        <v>01</v>
      </c>
      <c r="Q487" t="str">
        <f t="shared" si="429"/>
        <v>第１</v>
      </c>
      <c r="R487" t="str">
        <f t="shared" si="430"/>
        <v>1Y</v>
      </c>
      <c r="S487" t="str">
        <f t="shared" si="431"/>
        <v>安城第１工場</v>
      </c>
      <c r="T487" t="str">
        <f t="shared" si="432"/>
        <v>直接</v>
      </c>
      <c r="U487" t="str">
        <f>""</f>
        <v/>
      </c>
      <c r="V487" t="str">
        <f>""</f>
        <v/>
      </c>
      <c r="W487" t="str">
        <f>""</f>
        <v/>
      </c>
      <c r="X487">
        <v>1</v>
      </c>
      <c r="Y487">
        <v>1</v>
      </c>
      <c r="Z487">
        <v>0.73</v>
      </c>
      <c r="AA487">
        <v>0.93</v>
      </c>
      <c r="AB487">
        <v>3</v>
      </c>
      <c r="AC487">
        <v>0.93</v>
      </c>
      <c r="AD487">
        <v>0.93</v>
      </c>
      <c r="AE487">
        <v>1.1000000000000001</v>
      </c>
      <c r="AF487">
        <v>0.5</v>
      </c>
      <c r="AG487" t="str">
        <f t="shared" si="413"/>
        <v>205</v>
      </c>
      <c r="AH487" t="str">
        <f t="shared" si="414"/>
        <v>（株）ムロコーポレーション</v>
      </c>
      <c r="AI487" t="str">
        <f>"298"</f>
        <v>298</v>
      </c>
      <c r="AJ487" t="str">
        <f>"S-SM-3-17"</f>
        <v>S-SM-3-17</v>
      </c>
      <c r="AK487" t="str">
        <f>"10343"</f>
        <v>10343</v>
      </c>
      <c r="AL487" t="str">
        <f t="shared" si="436"/>
        <v>0370</v>
      </c>
      <c r="AM487" t="str">
        <f t="shared" si="437"/>
        <v>ｼﾑ</v>
      </c>
      <c r="AN487" t="str">
        <f t="shared" si="415"/>
        <v>012</v>
      </c>
      <c r="AO487" t="str">
        <f t="shared" si="416"/>
        <v>TP-131 ﾊﾝﾖｳ</v>
      </c>
      <c r="AP487">
        <v>100</v>
      </c>
      <c r="AQ487" t="str">
        <f>""</f>
        <v/>
      </c>
      <c r="AR487" t="str">
        <f>""</f>
        <v/>
      </c>
      <c r="AS487" t="str">
        <f>""</f>
        <v/>
      </c>
      <c r="AT487" t="str">
        <f t="shared" si="417"/>
        <v>00</v>
      </c>
      <c r="AU487">
        <v>0.5</v>
      </c>
      <c r="AV487" t="str">
        <f>""</f>
        <v/>
      </c>
      <c r="AW487" t="str">
        <f t="shared" si="438"/>
        <v>06</v>
      </c>
      <c r="AX487" t="str">
        <f t="shared" si="439"/>
        <v>計画</v>
      </c>
      <c r="AY487" t="str">
        <f t="shared" si="440"/>
        <v>02</v>
      </c>
      <c r="AZ487" t="str">
        <f t="shared" si="441"/>
        <v>計画・２社</v>
      </c>
      <c r="BA487" t="str">
        <f>""</f>
        <v/>
      </c>
      <c r="BB487" t="str">
        <f t="shared" si="418"/>
        <v>ＴＰ１３１フタナシ</v>
      </c>
      <c r="BC487" t="str">
        <f t="shared" si="419"/>
        <v xml:space="preserve"> 335.000</v>
      </c>
      <c r="BD487" t="str">
        <f t="shared" si="420"/>
        <v xml:space="preserve"> 168.000</v>
      </c>
      <c r="BE487" t="str">
        <f t="shared" si="421"/>
        <v xml:space="preserve"> 103.000</v>
      </c>
      <c r="BF487" t="str">
        <f t="shared" si="422"/>
        <v xml:space="preserve">   0.006</v>
      </c>
      <c r="BG487" t="str">
        <f t="shared" si="447"/>
        <v xml:space="preserve">   6.500</v>
      </c>
      <c r="BH487" t="str">
        <f t="shared" si="448"/>
        <v>しない</v>
      </c>
      <c r="BI487" t="str">
        <f>""</f>
        <v/>
      </c>
      <c r="BJ487" t="str">
        <f t="shared" si="445"/>
        <v>MASTER01</v>
      </c>
      <c r="BK487" t="str">
        <f t="shared" si="446"/>
        <v>2022/04/19</v>
      </c>
      <c r="BL487" t="str">
        <f t="shared" si="433"/>
        <v>NE00</v>
      </c>
      <c r="BM487" t="str">
        <f t="shared" si="434"/>
        <v>１工工務Ｇ</v>
      </c>
      <c r="BN487" t="str">
        <f t="shared" si="442"/>
        <v>46548</v>
      </c>
      <c r="BO487" t="str">
        <f t="shared" si="443"/>
        <v>長畑　玲奈</v>
      </c>
    </row>
    <row r="488" spans="1:67">
      <c r="A488" t="s">
        <v>570</v>
      </c>
      <c r="B488" t="str">
        <f>""</f>
        <v/>
      </c>
      <c r="C488" t="str">
        <f>""</f>
        <v/>
      </c>
      <c r="D488" t="str">
        <f t="shared" si="435"/>
        <v>SHIM</v>
      </c>
      <c r="E488" t="str">
        <f t="shared" si="423"/>
        <v>1Y</v>
      </c>
      <c r="F488" t="str">
        <f t="shared" si="424"/>
        <v>第１工場</v>
      </c>
      <c r="G488" t="str">
        <f t="shared" si="425"/>
        <v>手配</v>
      </c>
      <c r="H488" t="str">
        <f t="shared" si="426"/>
        <v>Ｐ</v>
      </c>
      <c r="I488" t="str">
        <f t="shared" si="411"/>
        <v>6454</v>
      </c>
      <c r="J488" t="str">
        <f t="shared" si="412"/>
        <v>（株）ムロコーポレーション</v>
      </c>
      <c r="K488" t="str">
        <f t="shared" si="410"/>
        <v>01</v>
      </c>
      <c r="L488" t="str">
        <f>""</f>
        <v/>
      </c>
      <c r="M488" t="str">
        <f t="shared" si="449"/>
        <v>――</v>
      </c>
      <c r="N488" t="str">
        <f t="shared" si="449"/>
        <v>――</v>
      </c>
      <c r="O488" t="str">
        <f t="shared" si="427"/>
        <v>Ｍ</v>
      </c>
      <c r="P488" t="str">
        <f t="shared" si="428"/>
        <v>01</v>
      </c>
      <c r="Q488" t="str">
        <f t="shared" si="429"/>
        <v>第１</v>
      </c>
      <c r="R488" t="str">
        <f t="shared" si="430"/>
        <v>1Y</v>
      </c>
      <c r="S488" t="str">
        <f t="shared" si="431"/>
        <v>安城第１工場</v>
      </c>
      <c r="T488" t="str">
        <f t="shared" si="432"/>
        <v>直接</v>
      </c>
      <c r="U488" t="str">
        <f>""</f>
        <v/>
      </c>
      <c r="V488" t="str">
        <f>""</f>
        <v/>
      </c>
      <c r="W488" t="str">
        <f>""</f>
        <v/>
      </c>
      <c r="X488">
        <v>1</v>
      </c>
      <c r="Y488">
        <v>1</v>
      </c>
      <c r="Z488">
        <v>0.73</v>
      </c>
      <c r="AA488">
        <v>0.93</v>
      </c>
      <c r="AB488">
        <v>3</v>
      </c>
      <c r="AC488">
        <v>0.93</v>
      </c>
      <c r="AD488">
        <v>0.93</v>
      </c>
      <c r="AE488">
        <v>1.1000000000000001</v>
      </c>
      <c r="AF488">
        <v>0.5</v>
      </c>
      <c r="AG488" t="str">
        <f t="shared" si="413"/>
        <v>205</v>
      </c>
      <c r="AH488" t="str">
        <f t="shared" si="414"/>
        <v>（株）ムロコーポレーション</v>
      </c>
      <c r="AI488" t="str">
        <f>"299"</f>
        <v>299</v>
      </c>
      <c r="AJ488" t="str">
        <f>"S-SM-3-18"</f>
        <v>S-SM-3-18</v>
      </c>
      <c r="AK488" t="str">
        <f>"10344"</f>
        <v>10344</v>
      </c>
      <c r="AL488" t="str">
        <f t="shared" si="436"/>
        <v>0370</v>
      </c>
      <c r="AM488" t="str">
        <f t="shared" si="437"/>
        <v>ｼﾑ</v>
      </c>
      <c r="AN488" t="str">
        <f t="shared" si="415"/>
        <v>012</v>
      </c>
      <c r="AO488" t="str">
        <f t="shared" si="416"/>
        <v>TP-131 ﾊﾝﾖｳ</v>
      </c>
      <c r="AP488">
        <v>100</v>
      </c>
      <c r="AQ488" t="str">
        <f>""</f>
        <v/>
      </c>
      <c r="AR488" t="str">
        <f>""</f>
        <v/>
      </c>
      <c r="AS488" t="str">
        <f>""</f>
        <v/>
      </c>
      <c r="AT488" t="str">
        <f t="shared" si="417"/>
        <v>00</v>
      </c>
      <c r="AU488">
        <v>0.5</v>
      </c>
      <c r="AV488" t="str">
        <f>""</f>
        <v/>
      </c>
      <c r="AW488" t="str">
        <f t="shared" si="438"/>
        <v>06</v>
      </c>
      <c r="AX488" t="str">
        <f t="shared" si="439"/>
        <v>計画</v>
      </c>
      <c r="AY488" t="str">
        <f t="shared" si="440"/>
        <v>02</v>
      </c>
      <c r="AZ488" t="str">
        <f t="shared" si="441"/>
        <v>計画・２社</v>
      </c>
      <c r="BA488" t="str">
        <f>""</f>
        <v/>
      </c>
      <c r="BB488" t="str">
        <f t="shared" si="418"/>
        <v>ＴＰ１３１フタナシ</v>
      </c>
      <c r="BC488" t="str">
        <f t="shared" si="419"/>
        <v xml:space="preserve"> 335.000</v>
      </c>
      <c r="BD488" t="str">
        <f t="shared" si="420"/>
        <v xml:space="preserve"> 168.000</v>
      </c>
      <c r="BE488" t="str">
        <f t="shared" si="421"/>
        <v xml:space="preserve"> 103.000</v>
      </c>
      <c r="BF488" t="str">
        <f t="shared" si="422"/>
        <v xml:space="preserve">   0.006</v>
      </c>
      <c r="BG488" t="str">
        <f t="shared" si="447"/>
        <v xml:space="preserve">   6.500</v>
      </c>
      <c r="BH488" t="str">
        <f t="shared" si="448"/>
        <v>しない</v>
      </c>
      <c r="BI488" t="str">
        <f>""</f>
        <v/>
      </c>
      <c r="BJ488" t="str">
        <f t="shared" si="445"/>
        <v>MASTER01</v>
      </c>
      <c r="BK488" t="str">
        <f t="shared" si="446"/>
        <v>2022/04/19</v>
      </c>
      <c r="BL488" t="str">
        <f t="shared" si="433"/>
        <v>NE00</v>
      </c>
      <c r="BM488" t="str">
        <f t="shared" si="434"/>
        <v>１工工務Ｇ</v>
      </c>
      <c r="BN488" t="str">
        <f t="shared" si="442"/>
        <v>46548</v>
      </c>
      <c r="BO488" t="str">
        <f t="shared" si="443"/>
        <v>長畑　玲奈</v>
      </c>
    </row>
    <row r="489" spans="1:67">
      <c r="A489" t="s">
        <v>571</v>
      </c>
      <c r="B489" t="str">
        <f>""</f>
        <v/>
      </c>
      <c r="C489" t="str">
        <f>""</f>
        <v/>
      </c>
      <c r="D489" t="str">
        <f t="shared" si="435"/>
        <v>SHIM</v>
      </c>
      <c r="E489" t="str">
        <f t="shared" si="423"/>
        <v>1Y</v>
      </c>
      <c r="F489" t="str">
        <f t="shared" si="424"/>
        <v>第１工場</v>
      </c>
      <c r="G489" t="str">
        <f t="shared" si="425"/>
        <v>手配</v>
      </c>
      <c r="H489" t="str">
        <f t="shared" si="426"/>
        <v>Ｐ</v>
      </c>
      <c r="I489" t="str">
        <f t="shared" si="411"/>
        <v>6454</v>
      </c>
      <c r="J489" t="str">
        <f t="shared" si="412"/>
        <v>（株）ムロコーポレーション</v>
      </c>
      <c r="K489" t="str">
        <f t="shared" si="410"/>
        <v>01</v>
      </c>
      <c r="L489" t="str">
        <f>""</f>
        <v/>
      </c>
      <c r="M489" t="str">
        <f t="shared" si="449"/>
        <v>――</v>
      </c>
      <c r="N489" t="str">
        <f t="shared" si="449"/>
        <v>――</v>
      </c>
      <c r="O489" t="str">
        <f t="shared" si="427"/>
        <v>Ｍ</v>
      </c>
      <c r="P489" t="str">
        <f t="shared" si="428"/>
        <v>01</v>
      </c>
      <c r="Q489" t="str">
        <f t="shared" si="429"/>
        <v>第１</v>
      </c>
      <c r="R489" t="str">
        <f t="shared" si="430"/>
        <v>1Y</v>
      </c>
      <c r="S489" t="str">
        <f t="shared" si="431"/>
        <v>安城第１工場</v>
      </c>
      <c r="T489" t="str">
        <f t="shared" si="432"/>
        <v>直接</v>
      </c>
      <c r="U489" t="str">
        <f>""</f>
        <v/>
      </c>
      <c r="V489" t="str">
        <f>""</f>
        <v/>
      </c>
      <c r="W489" t="str">
        <f>""</f>
        <v/>
      </c>
      <c r="X489">
        <v>1</v>
      </c>
      <c r="Y489">
        <v>1</v>
      </c>
      <c r="Z489">
        <v>0.73</v>
      </c>
      <c r="AA489">
        <v>0.93</v>
      </c>
      <c r="AB489">
        <v>3</v>
      </c>
      <c r="AC489">
        <v>0.93</v>
      </c>
      <c r="AD489">
        <v>0.93</v>
      </c>
      <c r="AE489">
        <v>1.1000000000000001</v>
      </c>
      <c r="AF489">
        <v>0.5</v>
      </c>
      <c r="AG489" t="str">
        <f t="shared" si="413"/>
        <v>205</v>
      </c>
      <c r="AH489" t="str">
        <f t="shared" si="414"/>
        <v>（株）ムロコーポレーション</v>
      </c>
      <c r="AI489" t="str">
        <f>"300"</f>
        <v>300</v>
      </c>
      <c r="AJ489" t="str">
        <f>"S-SM-3-19"</f>
        <v>S-SM-3-19</v>
      </c>
      <c r="AK489" t="str">
        <f>"10345"</f>
        <v>10345</v>
      </c>
      <c r="AL489" t="str">
        <f t="shared" si="436"/>
        <v>0370</v>
      </c>
      <c r="AM489" t="str">
        <f t="shared" si="437"/>
        <v>ｼﾑ</v>
      </c>
      <c r="AN489" t="str">
        <f t="shared" si="415"/>
        <v>012</v>
      </c>
      <c r="AO489" t="str">
        <f t="shared" si="416"/>
        <v>TP-131 ﾊﾝﾖｳ</v>
      </c>
      <c r="AP489">
        <v>100</v>
      </c>
      <c r="AQ489" t="str">
        <f>""</f>
        <v/>
      </c>
      <c r="AR489" t="str">
        <f>""</f>
        <v/>
      </c>
      <c r="AS489" t="str">
        <f>""</f>
        <v/>
      </c>
      <c r="AT489" t="str">
        <f t="shared" si="417"/>
        <v>00</v>
      </c>
      <c r="AU489">
        <v>0.5</v>
      </c>
      <c r="AV489" t="str">
        <f>""</f>
        <v/>
      </c>
      <c r="AW489" t="str">
        <f t="shared" si="438"/>
        <v>06</v>
      </c>
      <c r="AX489" t="str">
        <f t="shared" si="439"/>
        <v>計画</v>
      </c>
      <c r="AY489" t="str">
        <f t="shared" si="440"/>
        <v>02</v>
      </c>
      <c r="AZ489" t="str">
        <f t="shared" si="441"/>
        <v>計画・２社</v>
      </c>
      <c r="BA489" t="str">
        <f>""</f>
        <v/>
      </c>
      <c r="BB489" t="str">
        <f t="shared" si="418"/>
        <v>ＴＰ１３１フタナシ</v>
      </c>
      <c r="BC489" t="str">
        <f t="shared" si="419"/>
        <v xml:space="preserve"> 335.000</v>
      </c>
      <c r="BD489" t="str">
        <f t="shared" si="420"/>
        <v xml:space="preserve"> 168.000</v>
      </c>
      <c r="BE489" t="str">
        <f t="shared" si="421"/>
        <v xml:space="preserve"> 103.000</v>
      </c>
      <c r="BF489" t="str">
        <f t="shared" si="422"/>
        <v xml:space="preserve">   0.006</v>
      </c>
      <c r="BG489" t="str">
        <f t="shared" si="447"/>
        <v xml:space="preserve">   6.500</v>
      </c>
      <c r="BH489" t="str">
        <f t="shared" si="448"/>
        <v>しない</v>
      </c>
      <c r="BI489" t="str">
        <f>""</f>
        <v/>
      </c>
      <c r="BJ489" t="str">
        <f t="shared" si="445"/>
        <v>MASTER01</v>
      </c>
      <c r="BK489" t="str">
        <f t="shared" si="446"/>
        <v>2022/04/19</v>
      </c>
      <c r="BL489" t="str">
        <f t="shared" si="433"/>
        <v>NE00</v>
      </c>
      <c r="BM489" t="str">
        <f t="shared" si="434"/>
        <v>１工工務Ｇ</v>
      </c>
      <c r="BN489" t="str">
        <f t="shared" si="442"/>
        <v>46548</v>
      </c>
      <c r="BO489" t="str">
        <f t="shared" si="443"/>
        <v>長畑　玲奈</v>
      </c>
    </row>
    <row r="490" spans="1:67">
      <c r="A490" t="s">
        <v>572</v>
      </c>
      <c r="B490" t="str">
        <f>""</f>
        <v/>
      </c>
      <c r="C490" t="str">
        <f>""</f>
        <v/>
      </c>
      <c r="D490" t="str">
        <f t="shared" si="435"/>
        <v>SHIM</v>
      </c>
      <c r="E490" t="str">
        <f t="shared" si="423"/>
        <v>1Y</v>
      </c>
      <c r="F490" t="str">
        <f t="shared" si="424"/>
        <v>第１工場</v>
      </c>
      <c r="G490" t="str">
        <f t="shared" si="425"/>
        <v>手配</v>
      </c>
      <c r="H490" t="str">
        <f t="shared" si="426"/>
        <v>Ｐ</v>
      </c>
      <c r="I490" t="str">
        <f t="shared" si="411"/>
        <v>6454</v>
      </c>
      <c r="J490" t="str">
        <f t="shared" si="412"/>
        <v>（株）ムロコーポレーション</v>
      </c>
      <c r="K490" t="str">
        <f t="shared" si="410"/>
        <v>01</v>
      </c>
      <c r="L490" t="str">
        <f>""</f>
        <v/>
      </c>
      <c r="M490" t="str">
        <f t="shared" si="449"/>
        <v>――</v>
      </c>
      <c r="N490" t="str">
        <f t="shared" si="449"/>
        <v>――</v>
      </c>
      <c r="O490" t="str">
        <f t="shared" si="427"/>
        <v>Ｍ</v>
      </c>
      <c r="P490" t="str">
        <f t="shared" si="428"/>
        <v>01</v>
      </c>
      <c r="Q490" t="str">
        <f t="shared" si="429"/>
        <v>第１</v>
      </c>
      <c r="R490" t="str">
        <f t="shared" si="430"/>
        <v>1Y</v>
      </c>
      <c r="S490" t="str">
        <f t="shared" si="431"/>
        <v>安城第１工場</v>
      </c>
      <c r="T490" t="str">
        <f t="shared" si="432"/>
        <v>直接</v>
      </c>
      <c r="U490" t="str">
        <f>""</f>
        <v/>
      </c>
      <c r="V490" t="str">
        <f>""</f>
        <v/>
      </c>
      <c r="W490" t="str">
        <f>""</f>
        <v/>
      </c>
      <c r="X490">
        <v>1</v>
      </c>
      <c r="Y490">
        <v>1</v>
      </c>
      <c r="Z490">
        <v>0.73</v>
      </c>
      <c r="AA490">
        <v>0.93</v>
      </c>
      <c r="AB490">
        <v>3</v>
      </c>
      <c r="AC490">
        <v>0.93</v>
      </c>
      <c r="AD490">
        <v>0.93</v>
      </c>
      <c r="AE490">
        <v>1.1000000000000001</v>
      </c>
      <c r="AF490">
        <v>0.5</v>
      </c>
      <c r="AG490" t="str">
        <f t="shared" si="413"/>
        <v>205</v>
      </c>
      <c r="AH490" t="str">
        <f t="shared" si="414"/>
        <v>（株）ムロコーポレーション</v>
      </c>
      <c r="AI490" t="str">
        <f>"301"</f>
        <v>301</v>
      </c>
      <c r="AJ490" t="str">
        <f>"S-SM-3-20"</f>
        <v>S-SM-3-20</v>
      </c>
      <c r="AK490" t="str">
        <f>"10346"</f>
        <v>10346</v>
      </c>
      <c r="AL490" t="str">
        <f t="shared" si="436"/>
        <v>0370</v>
      </c>
      <c r="AM490" t="str">
        <f t="shared" si="437"/>
        <v>ｼﾑ</v>
      </c>
      <c r="AN490" t="str">
        <f t="shared" si="415"/>
        <v>012</v>
      </c>
      <c r="AO490" t="str">
        <f t="shared" si="416"/>
        <v>TP-131 ﾊﾝﾖｳ</v>
      </c>
      <c r="AP490">
        <v>100</v>
      </c>
      <c r="AQ490" t="str">
        <f>""</f>
        <v/>
      </c>
      <c r="AR490" t="str">
        <f>""</f>
        <v/>
      </c>
      <c r="AS490" t="str">
        <f>""</f>
        <v/>
      </c>
      <c r="AT490" t="str">
        <f t="shared" si="417"/>
        <v>00</v>
      </c>
      <c r="AU490">
        <v>0.5</v>
      </c>
      <c r="AV490" t="str">
        <f>""</f>
        <v/>
      </c>
      <c r="AW490" t="str">
        <f t="shared" si="438"/>
        <v>06</v>
      </c>
      <c r="AX490" t="str">
        <f t="shared" si="439"/>
        <v>計画</v>
      </c>
      <c r="AY490" t="str">
        <f t="shared" si="440"/>
        <v>02</v>
      </c>
      <c r="AZ490" t="str">
        <f t="shared" si="441"/>
        <v>計画・２社</v>
      </c>
      <c r="BA490" t="str">
        <f>""</f>
        <v/>
      </c>
      <c r="BB490" t="str">
        <f t="shared" si="418"/>
        <v>ＴＰ１３１フタナシ</v>
      </c>
      <c r="BC490" t="str">
        <f t="shared" si="419"/>
        <v xml:space="preserve"> 335.000</v>
      </c>
      <c r="BD490" t="str">
        <f t="shared" si="420"/>
        <v xml:space="preserve"> 168.000</v>
      </c>
      <c r="BE490" t="str">
        <f t="shared" si="421"/>
        <v xml:space="preserve"> 103.000</v>
      </c>
      <c r="BF490" t="str">
        <f t="shared" si="422"/>
        <v xml:space="preserve">   0.006</v>
      </c>
      <c r="BG490" t="str">
        <f t="shared" si="447"/>
        <v xml:space="preserve">   6.500</v>
      </c>
      <c r="BH490" t="str">
        <f t="shared" si="448"/>
        <v>しない</v>
      </c>
      <c r="BI490" t="str">
        <f>""</f>
        <v/>
      </c>
      <c r="BJ490" t="str">
        <f t="shared" si="445"/>
        <v>MASTER01</v>
      </c>
      <c r="BK490" t="str">
        <f t="shared" si="446"/>
        <v>2022/04/19</v>
      </c>
      <c r="BL490" t="str">
        <f t="shared" si="433"/>
        <v>NE00</v>
      </c>
      <c r="BM490" t="str">
        <f t="shared" si="434"/>
        <v>１工工務Ｇ</v>
      </c>
      <c r="BN490" t="str">
        <f t="shared" si="442"/>
        <v>46548</v>
      </c>
      <c r="BO490" t="str">
        <f t="shared" si="443"/>
        <v>長畑　玲奈</v>
      </c>
    </row>
    <row r="491" spans="1:67">
      <c r="A491" t="s">
        <v>573</v>
      </c>
      <c r="B491" t="str">
        <f>""</f>
        <v/>
      </c>
      <c r="C491" t="str">
        <f>""</f>
        <v/>
      </c>
      <c r="D491" t="str">
        <f t="shared" si="435"/>
        <v>SHIM</v>
      </c>
      <c r="E491" t="str">
        <f t="shared" si="423"/>
        <v>1Y</v>
      </c>
      <c r="F491" t="str">
        <f t="shared" si="424"/>
        <v>第１工場</v>
      </c>
      <c r="G491" t="str">
        <f t="shared" si="425"/>
        <v>手配</v>
      </c>
      <c r="H491" t="str">
        <f t="shared" si="426"/>
        <v>Ｐ</v>
      </c>
      <c r="I491" t="str">
        <f t="shared" si="411"/>
        <v>6454</v>
      </c>
      <c r="J491" t="str">
        <f t="shared" si="412"/>
        <v>（株）ムロコーポレーション</v>
      </c>
      <c r="K491" t="str">
        <f t="shared" si="410"/>
        <v>01</v>
      </c>
      <c r="L491" t="str">
        <f>""</f>
        <v/>
      </c>
      <c r="M491" t="str">
        <f t="shared" si="449"/>
        <v>――</v>
      </c>
      <c r="N491" t="str">
        <f t="shared" si="449"/>
        <v>――</v>
      </c>
      <c r="O491" t="str">
        <f t="shared" si="427"/>
        <v>Ｍ</v>
      </c>
      <c r="P491" t="str">
        <f t="shared" si="428"/>
        <v>01</v>
      </c>
      <c r="Q491" t="str">
        <f t="shared" si="429"/>
        <v>第１</v>
      </c>
      <c r="R491" t="str">
        <f t="shared" si="430"/>
        <v>1Y</v>
      </c>
      <c r="S491" t="str">
        <f t="shared" si="431"/>
        <v>安城第１工場</v>
      </c>
      <c r="T491" t="str">
        <f t="shared" si="432"/>
        <v>直接</v>
      </c>
      <c r="U491" t="str">
        <f>""</f>
        <v/>
      </c>
      <c r="V491" t="str">
        <f>""</f>
        <v/>
      </c>
      <c r="W491" t="str">
        <f>""</f>
        <v/>
      </c>
      <c r="X491">
        <v>1</v>
      </c>
      <c r="Y491">
        <v>1</v>
      </c>
      <c r="Z491">
        <v>0.73</v>
      </c>
      <c r="AA491">
        <v>0.93</v>
      </c>
      <c r="AB491">
        <v>3</v>
      </c>
      <c r="AC491">
        <v>0.93</v>
      </c>
      <c r="AD491">
        <v>0.93</v>
      </c>
      <c r="AE491">
        <v>1.1000000000000001</v>
      </c>
      <c r="AF491">
        <v>0.5</v>
      </c>
      <c r="AG491" t="str">
        <f t="shared" si="413"/>
        <v>205</v>
      </c>
      <c r="AH491" t="str">
        <f t="shared" si="414"/>
        <v>（株）ムロコーポレーション</v>
      </c>
      <c r="AI491" t="str">
        <f>"302"</f>
        <v>302</v>
      </c>
      <c r="AJ491" t="str">
        <f>"S-SM-3-21"</f>
        <v>S-SM-3-21</v>
      </c>
      <c r="AK491" t="str">
        <f>"10347"</f>
        <v>10347</v>
      </c>
      <c r="AL491" t="str">
        <f t="shared" si="436"/>
        <v>0370</v>
      </c>
      <c r="AM491" t="str">
        <f t="shared" si="437"/>
        <v>ｼﾑ</v>
      </c>
      <c r="AN491" t="str">
        <f t="shared" si="415"/>
        <v>012</v>
      </c>
      <c r="AO491" t="str">
        <f t="shared" si="416"/>
        <v>TP-131 ﾊﾝﾖｳ</v>
      </c>
      <c r="AP491">
        <v>100</v>
      </c>
      <c r="AQ491" t="str">
        <f>""</f>
        <v/>
      </c>
      <c r="AR491" t="str">
        <f>""</f>
        <v/>
      </c>
      <c r="AS491" t="str">
        <f>""</f>
        <v/>
      </c>
      <c r="AT491" t="str">
        <f t="shared" si="417"/>
        <v>00</v>
      </c>
      <c r="AU491">
        <v>0.5</v>
      </c>
      <c r="AV491" t="str">
        <f>""</f>
        <v/>
      </c>
      <c r="AW491" t="str">
        <f t="shared" si="438"/>
        <v>06</v>
      </c>
      <c r="AX491" t="str">
        <f t="shared" si="439"/>
        <v>計画</v>
      </c>
      <c r="AY491" t="str">
        <f t="shared" si="440"/>
        <v>02</v>
      </c>
      <c r="AZ491" t="str">
        <f t="shared" si="441"/>
        <v>計画・２社</v>
      </c>
      <c r="BA491" t="str">
        <f>""</f>
        <v/>
      </c>
      <c r="BB491" t="str">
        <f t="shared" si="418"/>
        <v>ＴＰ１３１フタナシ</v>
      </c>
      <c r="BC491" t="str">
        <f t="shared" si="419"/>
        <v xml:space="preserve"> 335.000</v>
      </c>
      <c r="BD491" t="str">
        <f t="shared" si="420"/>
        <v xml:space="preserve"> 168.000</v>
      </c>
      <c r="BE491" t="str">
        <f t="shared" si="421"/>
        <v xml:space="preserve"> 103.000</v>
      </c>
      <c r="BF491" t="str">
        <f t="shared" si="422"/>
        <v xml:space="preserve">   0.006</v>
      </c>
      <c r="BG491" t="str">
        <f t="shared" si="447"/>
        <v xml:space="preserve">   6.500</v>
      </c>
      <c r="BH491" t="str">
        <f t="shared" si="448"/>
        <v>しない</v>
      </c>
      <c r="BI491" t="str">
        <f>""</f>
        <v/>
      </c>
      <c r="BJ491" t="str">
        <f t="shared" si="445"/>
        <v>MASTER01</v>
      </c>
      <c r="BK491" t="str">
        <f t="shared" si="446"/>
        <v>2022/04/19</v>
      </c>
      <c r="BL491" t="str">
        <f t="shared" si="433"/>
        <v>NE00</v>
      </c>
      <c r="BM491" t="str">
        <f t="shared" si="434"/>
        <v>１工工務Ｇ</v>
      </c>
      <c r="BN491" t="str">
        <f t="shared" si="442"/>
        <v>46548</v>
      </c>
      <c r="BO491" t="str">
        <f t="shared" si="443"/>
        <v>長畑　玲奈</v>
      </c>
    </row>
    <row r="492" spans="1:67">
      <c r="A492" t="s">
        <v>574</v>
      </c>
      <c r="B492" t="str">
        <f>""</f>
        <v/>
      </c>
      <c r="C492" t="str">
        <f>""</f>
        <v/>
      </c>
      <c r="D492" t="str">
        <f t="shared" si="435"/>
        <v>SHIM</v>
      </c>
      <c r="E492" t="str">
        <f t="shared" si="423"/>
        <v>1Y</v>
      </c>
      <c r="F492" t="str">
        <f t="shared" si="424"/>
        <v>第１工場</v>
      </c>
      <c r="G492" t="str">
        <f t="shared" si="425"/>
        <v>手配</v>
      </c>
      <c r="H492" t="str">
        <f t="shared" si="426"/>
        <v>Ｐ</v>
      </c>
      <c r="I492" t="str">
        <f t="shared" si="411"/>
        <v>6454</v>
      </c>
      <c r="J492" t="str">
        <f t="shared" si="412"/>
        <v>（株）ムロコーポレーション</v>
      </c>
      <c r="K492" t="str">
        <f t="shared" si="410"/>
        <v>01</v>
      </c>
      <c r="L492" t="str">
        <f>""</f>
        <v/>
      </c>
      <c r="M492" t="str">
        <f t="shared" si="449"/>
        <v>――</v>
      </c>
      <c r="N492" t="str">
        <f t="shared" si="449"/>
        <v>――</v>
      </c>
      <c r="O492" t="str">
        <f t="shared" si="427"/>
        <v>Ｍ</v>
      </c>
      <c r="P492" t="str">
        <f t="shared" si="428"/>
        <v>01</v>
      </c>
      <c r="Q492" t="str">
        <f t="shared" si="429"/>
        <v>第１</v>
      </c>
      <c r="R492" t="str">
        <f t="shared" si="430"/>
        <v>1Y</v>
      </c>
      <c r="S492" t="str">
        <f t="shared" si="431"/>
        <v>安城第１工場</v>
      </c>
      <c r="T492" t="str">
        <f t="shared" si="432"/>
        <v>直接</v>
      </c>
      <c r="U492" t="str">
        <f>""</f>
        <v/>
      </c>
      <c r="V492" t="str">
        <f>""</f>
        <v/>
      </c>
      <c r="W492" t="str">
        <f>""</f>
        <v/>
      </c>
      <c r="X492">
        <v>1</v>
      </c>
      <c r="Y492">
        <v>1</v>
      </c>
      <c r="Z492">
        <v>0.73</v>
      </c>
      <c r="AA492">
        <v>0.93</v>
      </c>
      <c r="AB492">
        <v>3</v>
      </c>
      <c r="AC492">
        <v>0.93</v>
      </c>
      <c r="AD492">
        <v>0.93</v>
      </c>
      <c r="AE492">
        <v>1.1000000000000001</v>
      </c>
      <c r="AF492">
        <v>0.5</v>
      </c>
      <c r="AG492" t="str">
        <f t="shared" si="413"/>
        <v>205</v>
      </c>
      <c r="AH492" t="str">
        <f t="shared" si="414"/>
        <v>（株）ムロコーポレーション</v>
      </c>
      <c r="AI492" t="str">
        <f>"303"</f>
        <v>303</v>
      </c>
      <c r="AJ492" t="str">
        <f>"S-SM-3-22"</f>
        <v>S-SM-3-22</v>
      </c>
      <c r="AK492" t="str">
        <f>"10348"</f>
        <v>10348</v>
      </c>
      <c r="AL492" t="str">
        <f t="shared" si="436"/>
        <v>0370</v>
      </c>
      <c r="AM492" t="str">
        <f t="shared" si="437"/>
        <v>ｼﾑ</v>
      </c>
      <c r="AN492" t="str">
        <f t="shared" si="415"/>
        <v>012</v>
      </c>
      <c r="AO492" t="str">
        <f t="shared" si="416"/>
        <v>TP-131 ﾊﾝﾖｳ</v>
      </c>
      <c r="AP492">
        <v>100</v>
      </c>
      <c r="AQ492" t="str">
        <f>""</f>
        <v/>
      </c>
      <c r="AR492" t="str">
        <f>""</f>
        <v/>
      </c>
      <c r="AS492" t="str">
        <f>""</f>
        <v/>
      </c>
      <c r="AT492" t="str">
        <f t="shared" si="417"/>
        <v>00</v>
      </c>
      <c r="AU492">
        <v>0.5</v>
      </c>
      <c r="AV492" t="str">
        <f>""</f>
        <v/>
      </c>
      <c r="AW492" t="str">
        <f t="shared" si="438"/>
        <v>06</v>
      </c>
      <c r="AX492" t="str">
        <f t="shared" si="439"/>
        <v>計画</v>
      </c>
      <c r="AY492" t="str">
        <f t="shared" si="440"/>
        <v>02</v>
      </c>
      <c r="AZ492" t="str">
        <f t="shared" si="441"/>
        <v>計画・２社</v>
      </c>
      <c r="BA492" t="str">
        <f>""</f>
        <v/>
      </c>
      <c r="BB492" t="str">
        <f t="shared" si="418"/>
        <v>ＴＰ１３１フタナシ</v>
      </c>
      <c r="BC492" t="str">
        <f t="shared" si="419"/>
        <v xml:space="preserve"> 335.000</v>
      </c>
      <c r="BD492" t="str">
        <f t="shared" si="420"/>
        <v xml:space="preserve"> 168.000</v>
      </c>
      <c r="BE492" t="str">
        <f t="shared" si="421"/>
        <v xml:space="preserve"> 103.000</v>
      </c>
      <c r="BF492" t="str">
        <f t="shared" si="422"/>
        <v xml:space="preserve">   0.006</v>
      </c>
      <c r="BG492" t="str">
        <f t="shared" si="447"/>
        <v xml:space="preserve">   6.500</v>
      </c>
      <c r="BH492" t="str">
        <f t="shared" si="448"/>
        <v>しない</v>
      </c>
      <c r="BI492" t="str">
        <f>""</f>
        <v/>
      </c>
      <c r="BJ492" t="str">
        <f t="shared" si="445"/>
        <v>MASTER01</v>
      </c>
      <c r="BK492" t="str">
        <f t="shared" si="446"/>
        <v>2022/04/19</v>
      </c>
      <c r="BL492" t="str">
        <f t="shared" si="433"/>
        <v>NE00</v>
      </c>
      <c r="BM492" t="str">
        <f t="shared" si="434"/>
        <v>１工工務Ｇ</v>
      </c>
      <c r="BN492" t="str">
        <f t="shared" si="442"/>
        <v>46548</v>
      </c>
      <c r="BO492" t="str">
        <f t="shared" si="443"/>
        <v>長畑　玲奈</v>
      </c>
    </row>
    <row r="493" spans="1:67">
      <c r="A493" t="s">
        <v>575</v>
      </c>
      <c r="B493" t="str">
        <f>""</f>
        <v/>
      </c>
      <c r="C493" t="str">
        <f>""</f>
        <v/>
      </c>
      <c r="D493" t="str">
        <f t="shared" si="435"/>
        <v>SHIM</v>
      </c>
      <c r="E493" t="str">
        <f t="shared" si="423"/>
        <v>1Y</v>
      </c>
      <c r="F493" t="str">
        <f t="shared" si="424"/>
        <v>第１工場</v>
      </c>
      <c r="G493" t="str">
        <f t="shared" si="425"/>
        <v>手配</v>
      </c>
      <c r="H493" t="str">
        <f t="shared" si="426"/>
        <v>Ｐ</v>
      </c>
      <c r="I493" t="str">
        <f t="shared" si="411"/>
        <v>6454</v>
      </c>
      <c r="J493" t="str">
        <f t="shared" si="412"/>
        <v>（株）ムロコーポレーション</v>
      </c>
      <c r="K493" t="str">
        <f t="shared" si="410"/>
        <v>01</v>
      </c>
      <c r="L493" t="str">
        <f>""</f>
        <v/>
      </c>
      <c r="M493" t="str">
        <f t="shared" si="449"/>
        <v>――</v>
      </c>
      <c r="N493" t="str">
        <f t="shared" si="449"/>
        <v>――</v>
      </c>
      <c r="O493" t="str">
        <f t="shared" si="427"/>
        <v>Ｍ</v>
      </c>
      <c r="P493" t="str">
        <f t="shared" si="428"/>
        <v>01</v>
      </c>
      <c r="Q493" t="str">
        <f t="shared" si="429"/>
        <v>第１</v>
      </c>
      <c r="R493" t="str">
        <f t="shared" si="430"/>
        <v>1Y</v>
      </c>
      <c r="S493" t="str">
        <f t="shared" si="431"/>
        <v>安城第１工場</v>
      </c>
      <c r="T493" t="str">
        <f t="shared" si="432"/>
        <v>直接</v>
      </c>
      <c r="U493" t="str">
        <f>""</f>
        <v/>
      </c>
      <c r="V493" t="str">
        <f>""</f>
        <v/>
      </c>
      <c r="W493" t="str">
        <f>""</f>
        <v/>
      </c>
      <c r="X493">
        <v>1</v>
      </c>
      <c r="Y493">
        <v>1</v>
      </c>
      <c r="Z493">
        <v>0.73</v>
      </c>
      <c r="AA493">
        <v>0.93</v>
      </c>
      <c r="AB493">
        <v>3</v>
      </c>
      <c r="AC493">
        <v>0.93</v>
      </c>
      <c r="AD493">
        <v>0.93</v>
      </c>
      <c r="AE493">
        <v>1.1000000000000001</v>
      </c>
      <c r="AF493">
        <v>0.5</v>
      </c>
      <c r="AG493" t="str">
        <f t="shared" si="413"/>
        <v>205</v>
      </c>
      <c r="AH493" t="str">
        <f t="shared" si="414"/>
        <v>（株）ムロコーポレーション</v>
      </c>
      <c r="AI493" t="str">
        <f>"304"</f>
        <v>304</v>
      </c>
      <c r="AJ493" t="str">
        <f>"S-SM-3-23"</f>
        <v>S-SM-3-23</v>
      </c>
      <c r="AK493" t="str">
        <f>"10349"</f>
        <v>10349</v>
      </c>
      <c r="AL493" t="str">
        <f t="shared" si="436"/>
        <v>0370</v>
      </c>
      <c r="AM493" t="str">
        <f t="shared" si="437"/>
        <v>ｼﾑ</v>
      </c>
      <c r="AN493" t="str">
        <f t="shared" si="415"/>
        <v>012</v>
      </c>
      <c r="AO493" t="str">
        <f t="shared" si="416"/>
        <v>TP-131 ﾊﾝﾖｳ</v>
      </c>
      <c r="AP493">
        <v>100</v>
      </c>
      <c r="AQ493" t="str">
        <f>""</f>
        <v/>
      </c>
      <c r="AR493" t="str">
        <f>""</f>
        <v/>
      </c>
      <c r="AS493" t="str">
        <f>""</f>
        <v/>
      </c>
      <c r="AT493" t="str">
        <f t="shared" si="417"/>
        <v>00</v>
      </c>
      <c r="AU493">
        <v>0.5</v>
      </c>
      <c r="AV493" t="str">
        <f>""</f>
        <v/>
      </c>
      <c r="AW493" t="str">
        <f t="shared" si="438"/>
        <v>06</v>
      </c>
      <c r="AX493" t="str">
        <f t="shared" si="439"/>
        <v>計画</v>
      </c>
      <c r="AY493" t="str">
        <f t="shared" si="440"/>
        <v>02</v>
      </c>
      <c r="AZ493" t="str">
        <f t="shared" si="441"/>
        <v>計画・２社</v>
      </c>
      <c r="BA493" t="str">
        <f>""</f>
        <v/>
      </c>
      <c r="BB493" t="str">
        <f t="shared" si="418"/>
        <v>ＴＰ１３１フタナシ</v>
      </c>
      <c r="BC493" t="str">
        <f t="shared" si="419"/>
        <v xml:space="preserve"> 335.000</v>
      </c>
      <c r="BD493" t="str">
        <f t="shared" si="420"/>
        <v xml:space="preserve"> 168.000</v>
      </c>
      <c r="BE493" t="str">
        <f t="shared" si="421"/>
        <v xml:space="preserve"> 103.000</v>
      </c>
      <c r="BF493" t="str">
        <f t="shared" si="422"/>
        <v xml:space="preserve">   0.006</v>
      </c>
      <c r="BG493" t="str">
        <f t="shared" si="447"/>
        <v xml:space="preserve">   6.500</v>
      </c>
      <c r="BH493" t="str">
        <f t="shared" si="448"/>
        <v>しない</v>
      </c>
      <c r="BI493" t="str">
        <f>""</f>
        <v/>
      </c>
      <c r="BJ493" t="str">
        <f t="shared" si="445"/>
        <v>MASTER01</v>
      </c>
      <c r="BK493" t="str">
        <f t="shared" si="446"/>
        <v>2022/04/19</v>
      </c>
      <c r="BL493" t="str">
        <f t="shared" si="433"/>
        <v>NE00</v>
      </c>
      <c r="BM493" t="str">
        <f t="shared" si="434"/>
        <v>１工工務Ｇ</v>
      </c>
      <c r="BN493" t="str">
        <f t="shared" si="442"/>
        <v>46548</v>
      </c>
      <c r="BO493" t="str">
        <f t="shared" si="443"/>
        <v>長畑　玲奈</v>
      </c>
    </row>
    <row r="494" spans="1:67">
      <c r="A494" t="s">
        <v>576</v>
      </c>
      <c r="B494" t="str">
        <f>""</f>
        <v/>
      </c>
      <c r="C494" t="str">
        <f>""</f>
        <v/>
      </c>
      <c r="D494" t="str">
        <f t="shared" si="435"/>
        <v>SHIM</v>
      </c>
      <c r="E494" t="str">
        <f t="shared" si="423"/>
        <v>1Y</v>
      </c>
      <c r="F494" t="str">
        <f t="shared" si="424"/>
        <v>第１工場</v>
      </c>
      <c r="G494" t="str">
        <f t="shared" si="425"/>
        <v>手配</v>
      </c>
      <c r="H494" t="str">
        <f t="shared" si="426"/>
        <v>Ｐ</v>
      </c>
      <c r="I494" t="str">
        <f t="shared" si="411"/>
        <v>6454</v>
      </c>
      <c r="J494" t="str">
        <f t="shared" si="412"/>
        <v>（株）ムロコーポレーション</v>
      </c>
      <c r="K494" t="str">
        <f t="shared" si="410"/>
        <v>01</v>
      </c>
      <c r="L494" t="str">
        <f>""</f>
        <v/>
      </c>
      <c r="M494" t="str">
        <f t="shared" si="449"/>
        <v>――</v>
      </c>
      <c r="N494" t="str">
        <f t="shared" si="449"/>
        <v>――</v>
      </c>
      <c r="O494" t="str">
        <f t="shared" si="427"/>
        <v>Ｍ</v>
      </c>
      <c r="P494" t="str">
        <f t="shared" si="428"/>
        <v>01</v>
      </c>
      <c r="Q494" t="str">
        <f t="shared" si="429"/>
        <v>第１</v>
      </c>
      <c r="R494" t="str">
        <f t="shared" si="430"/>
        <v>1Y</v>
      </c>
      <c r="S494" t="str">
        <f t="shared" si="431"/>
        <v>安城第１工場</v>
      </c>
      <c r="T494" t="str">
        <f t="shared" si="432"/>
        <v>直接</v>
      </c>
      <c r="U494" t="str">
        <f>""</f>
        <v/>
      </c>
      <c r="V494" t="str">
        <f>""</f>
        <v/>
      </c>
      <c r="W494" t="str">
        <f>""</f>
        <v/>
      </c>
      <c r="X494">
        <v>1</v>
      </c>
      <c r="Y494">
        <v>1</v>
      </c>
      <c r="Z494">
        <v>0.73</v>
      </c>
      <c r="AA494">
        <v>0.93</v>
      </c>
      <c r="AB494">
        <v>3</v>
      </c>
      <c r="AC494">
        <v>0.93</v>
      </c>
      <c r="AD494">
        <v>0.93</v>
      </c>
      <c r="AE494">
        <v>1.1000000000000001</v>
      </c>
      <c r="AF494">
        <v>0.5</v>
      </c>
      <c r="AG494" t="str">
        <f t="shared" si="413"/>
        <v>205</v>
      </c>
      <c r="AH494" t="str">
        <f t="shared" si="414"/>
        <v>（株）ムロコーポレーション</v>
      </c>
      <c r="AI494" t="str">
        <f>"305"</f>
        <v>305</v>
      </c>
      <c r="AJ494" t="str">
        <f>"S-SM-3-24"</f>
        <v>S-SM-3-24</v>
      </c>
      <c r="AK494" t="str">
        <f>"10350"</f>
        <v>10350</v>
      </c>
      <c r="AL494" t="str">
        <f t="shared" si="436"/>
        <v>0370</v>
      </c>
      <c r="AM494" t="str">
        <f t="shared" si="437"/>
        <v>ｼﾑ</v>
      </c>
      <c r="AN494" t="str">
        <f t="shared" si="415"/>
        <v>012</v>
      </c>
      <c r="AO494" t="str">
        <f t="shared" si="416"/>
        <v>TP-131 ﾊﾝﾖｳ</v>
      </c>
      <c r="AP494">
        <v>100</v>
      </c>
      <c r="AQ494" t="str">
        <f>""</f>
        <v/>
      </c>
      <c r="AR494" t="str">
        <f>""</f>
        <v/>
      </c>
      <c r="AS494" t="str">
        <f>""</f>
        <v/>
      </c>
      <c r="AT494" t="str">
        <f t="shared" si="417"/>
        <v>00</v>
      </c>
      <c r="AU494">
        <v>0.5</v>
      </c>
      <c r="AV494" t="str">
        <f>""</f>
        <v/>
      </c>
      <c r="AW494" t="str">
        <f t="shared" si="438"/>
        <v>06</v>
      </c>
      <c r="AX494" t="str">
        <f t="shared" si="439"/>
        <v>計画</v>
      </c>
      <c r="AY494" t="str">
        <f t="shared" si="440"/>
        <v>02</v>
      </c>
      <c r="AZ494" t="str">
        <f t="shared" si="441"/>
        <v>計画・２社</v>
      </c>
      <c r="BA494" t="str">
        <f>""</f>
        <v/>
      </c>
      <c r="BB494" t="str">
        <f t="shared" si="418"/>
        <v>ＴＰ１３１フタナシ</v>
      </c>
      <c r="BC494" t="str">
        <f t="shared" si="419"/>
        <v xml:space="preserve"> 335.000</v>
      </c>
      <c r="BD494" t="str">
        <f t="shared" si="420"/>
        <v xml:space="preserve"> 168.000</v>
      </c>
      <c r="BE494" t="str">
        <f t="shared" si="421"/>
        <v xml:space="preserve"> 103.000</v>
      </c>
      <c r="BF494" t="str">
        <f t="shared" si="422"/>
        <v xml:space="preserve">   0.006</v>
      </c>
      <c r="BG494" t="str">
        <f t="shared" si="447"/>
        <v xml:space="preserve">   6.500</v>
      </c>
      <c r="BH494" t="str">
        <f t="shared" si="448"/>
        <v>しない</v>
      </c>
      <c r="BI494" t="str">
        <f>""</f>
        <v/>
      </c>
      <c r="BJ494" t="str">
        <f t="shared" si="445"/>
        <v>MASTER01</v>
      </c>
      <c r="BK494" t="str">
        <f t="shared" si="446"/>
        <v>2022/04/19</v>
      </c>
      <c r="BL494" t="str">
        <f t="shared" si="433"/>
        <v>NE00</v>
      </c>
      <c r="BM494" t="str">
        <f t="shared" si="434"/>
        <v>１工工務Ｇ</v>
      </c>
      <c r="BN494" t="str">
        <f t="shared" si="442"/>
        <v>46548</v>
      </c>
      <c r="BO494" t="str">
        <f t="shared" si="443"/>
        <v>長畑　玲奈</v>
      </c>
    </row>
    <row r="495" spans="1:67">
      <c r="A495" t="s">
        <v>577</v>
      </c>
      <c r="B495" t="str">
        <f>""</f>
        <v/>
      </c>
      <c r="C495" t="str">
        <f>""</f>
        <v/>
      </c>
      <c r="D495" t="str">
        <f t="shared" si="435"/>
        <v>SHIM</v>
      </c>
      <c r="E495" t="str">
        <f t="shared" si="423"/>
        <v>1Y</v>
      </c>
      <c r="F495" t="str">
        <f t="shared" si="424"/>
        <v>第１工場</v>
      </c>
      <c r="G495" t="str">
        <f t="shared" si="425"/>
        <v>手配</v>
      </c>
      <c r="H495" t="str">
        <f t="shared" si="426"/>
        <v>Ｐ</v>
      </c>
      <c r="I495" t="str">
        <f t="shared" si="411"/>
        <v>6454</v>
      </c>
      <c r="J495" t="str">
        <f t="shared" si="412"/>
        <v>（株）ムロコーポレーション</v>
      </c>
      <c r="K495" t="str">
        <f t="shared" si="410"/>
        <v>01</v>
      </c>
      <c r="L495" t="str">
        <f>""</f>
        <v/>
      </c>
      <c r="M495" t="str">
        <f t="shared" si="449"/>
        <v>――</v>
      </c>
      <c r="N495" t="str">
        <f t="shared" si="449"/>
        <v>――</v>
      </c>
      <c r="O495" t="str">
        <f t="shared" si="427"/>
        <v>Ｍ</v>
      </c>
      <c r="P495" t="str">
        <f t="shared" si="428"/>
        <v>01</v>
      </c>
      <c r="Q495" t="str">
        <f t="shared" si="429"/>
        <v>第１</v>
      </c>
      <c r="R495" t="str">
        <f t="shared" si="430"/>
        <v>1Y</v>
      </c>
      <c r="S495" t="str">
        <f t="shared" si="431"/>
        <v>安城第１工場</v>
      </c>
      <c r="T495" t="str">
        <f t="shared" si="432"/>
        <v>直接</v>
      </c>
      <c r="U495" t="str">
        <f>""</f>
        <v/>
      </c>
      <c r="V495" t="str">
        <f>""</f>
        <v/>
      </c>
      <c r="W495" t="str">
        <f>""</f>
        <v/>
      </c>
      <c r="X495">
        <v>1</v>
      </c>
      <c r="Y495">
        <v>1</v>
      </c>
      <c r="Z495">
        <v>0.73</v>
      </c>
      <c r="AA495">
        <v>0.93</v>
      </c>
      <c r="AB495">
        <v>3</v>
      </c>
      <c r="AC495">
        <v>0.93</v>
      </c>
      <c r="AD495">
        <v>0.93</v>
      </c>
      <c r="AE495">
        <v>1.1000000000000001</v>
      </c>
      <c r="AF495">
        <v>0.5</v>
      </c>
      <c r="AG495" t="str">
        <f t="shared" si="413"/>
        <v>205</v>
      </c>
      <c r="AH495" t="str">
        <f t="shared" si="414"/>
        <v>（株）ムロコーポレーション</v>
      </c>
      <c r="AI495" t="str">
        <f>"306"</f>
        <v>306</v>
      </c>
      <c r="AJ495" t="str">
        <f>"S-SM-3-25"</f>
        <v>S-SM-3-25</v>
      </c>
      <c r="AK495" t="str">
        <f>"10351"</f>
        <v>10351</v>
      </c>
      <c r="AL495" t="str">
        <f t="shared" si="436"/>
        <v>0370</v>
      </c>
      <c r="AM495" t="str">
        <f t="shared" si="437"/>
        <v>ｼﾑ</v>
      </c>
      <c r="AN495" t="str">
        <f t="shared" si="415"/>
        <v>012</v>
      </c>
      <c r="AO495" t="str">
        <f t="shared" si="416"/>
        <v>TP-131 ﾊﾝﾖｳ</v>
      </c>
      <c r="AP495">
        <v>100</v>
      </c>
      <c r="AQ495" t="str">
        <f>""</f>
        <v/>
      </c>
      <c r="AR495" t="str">
        <f>""</f>
        <v/>
      </c>
      <c r="AS495" t="str">
        <f>""</f>
        <v/>
      </c>
      <c r="AT495" t="str">
        <f t="shared" si="417"/>
        <v>00</v>
      </c>
      <c r="AU495">
        <v>0.5</v>
      </c>
      <c r="AV495" t="str">
        <f>""</f>
        <v/>
      </c>
      <c r="AW495" t="str">
        <f t="shared" si="438"/>
        <v>06</v>
      </c>
      <c r="AX495" t="str">
        <f t="shared" si="439"/>
        <v>計画</v>
      </c>
      <c r="AY495" t="str">
        <f t="shared" si="440"/>
        <v>02</v>
      </c>
      <c r="AZ495" t="str">
        <f t="shared" si="441"/>
        <v>計画・２社</v>
      </c>
      <c r="BA495" t="str">
        <f>""</f>
        <v/>
      </c>
      <c r="BB495" t="str">
        <f t="shared" si="418"/>
        <v>ＴＰ１３１フタナシ</v>
      </c>
      <c r="BC495" t="str">
        <f t="shared" si="419"/>
        <v xml:space="preserve"> 335.000</v>
      </c>
      <c r="BD495" t="str">
        <f t="shared" si="420"/>
        <v xml:space="preserve"> 168.000</v>
      </c>
      <c r="BE495" t="str">
        <f t="shared" si="421"/>
        <v xml:space="preserve"> 103.000</v>
      </c>
      <c r="BF495" t="str">
        <f t="shared" si="422"/>
        <v xml:space="preserve">   0.006</v>
      </c>
      <c r="BG495" t="str">
        <f t="shared" si="447"/>
        <v xml:space="preserve">   6.500</v>
      </c>
      <c r="BH495" t="str">
        <f t="shared" si="448"/>
        <v>しない</v>
      </c>
      <c r="BI495" t="str">
        <f>""</f>
        <v/>
      </c>
      <c r="BJ495" t="str">
        <f t="shared" si="445"/>
        <v>MASTER01</v>
      </c>
      <c r="BK495" t="str">
        <f t="shared" si="446"/>
        <v>2022/04/19</v>
      </c>
      <c r="BL495" t="str">
        <f t="shared" si="433"/>
        <v>NE00</v>
      </c>
      <c r="BM495" t="str">
        <f t="shared" si="434"/>
        <v>１工工務Ｇ</v>
      </c>
      <c r="BN495" t="str">
        <f t="shared" si="442"/>
        <v>46548</v>
      </c>
      <c r="BO495" t="str">
        <f t="shared" si="443"/>
        <v>長畑　玲奈</v>
      </c>
    </row>
    <row r="496" spans="1:67">
      <c r="A496" t="s">
        <v>578</v>
      </c>
      <c r="B496" t="str">
        <f>""</f>
        <v/>
      </c>
      <c r="C496" t="str">
        <f>""</f>
        <v/>
      </c>
      <c r="D496" t="str">
        <f t="shared" si="435"/>
        <v>SHIM</v>
      </c>
      <c r="E496" t="str">
        <f t="shared" si="423"/>
        <v>1Y</v>
      </c>
      <c r="F496" t="str">
        <f t="shared" si="424"/>
        <v>第１工場</v>
      </c>
      <c r="G496" t="str">
        <f t="shared" si="425"/>
        <v>手配</v>
      </c>
      <c r="H496" t="str">
        <f t="shared" si="426"/>
        <v>Ｐ</v>
      </c>
      <c r="I496" t="str">
        <f t="shared" si="411"/>
        <v>6454</v>
      </c>
      <c r="J496" t="str">
        <f t="shared" si="412"/>
        <v>（株）ムロコーポレーション</v>
      </c>
      <c r="K496" t="str">
        <f t="shared" si="410"/>
        <v>01</v>
      </c>
      <c r="L496" t="str">
        <f>""</f>
        <v/>
      </c>
      <c r="M496" t="str">
        <f t="shared" si="449"/>
        <v>――</v>
      </c>
      <c r="N496" t="str">
        <f t="shared" si="449"/>
        <v>――</v>
      </c>
      <c r="O496" t="str">
        <f t="shared" si="427"/>
        <v>Ｍ</v>
      </c>
      <c r="P496" t="str">
        <f t="shared" si="428"/>
        <v>01</v>
      </c>
      <c r="Q496" t="str">
        <f t="shared" si="429"/>
        <v>第１</v>
      </c>
      <c r="R496" t="str">
        <f t="shared" si="430"/>
        <v>1Y</v>
      </c>
      <c r="S496" t="str">
        <f t="shared" si="431"/>
        <v>安城第１工場</v>
      </c>
      <c r="T496" t="str">
        <f t="shared" si="432"/>
        <v>直接</v>
      </c>
      <c r="U496" t="str">
        <f>""</f>
        <v/>
      </c>
      <c r="V496" t="str">
        <f>""</f>
        <v/>
      </c>
      <c r="W496" t="str">
        <f>""</f>
        <v/>
      </c>
      <c r="X496">
        <v>1</v>
      </c>
      <c r="Y496">
        <v>1</v>
      </c>
      <c r="Z496">
        <v>0.73</v>
      </c>
      <c r="AA496">
        <v>0.93</v>
      </c>
      <c r="AB496">
        <v>3</v>
      </c>
      <c r="AC496">
        <v>0.93</v>
      </c>
      <c r="AD496">
        <v>0.93</v>
      </c>
      <c r="AE496">
        <v>1.1000000000000001</v>
      </c>
      <c r="AF496">
        <v>0.5</v>
      </c>
      <c r="AG496" t="str">
        <f t="shared" si="413"/>
        <v>205</v>
      </c>
      <c r="AH496" t="str">
        <f t="shared" si="414"/>
        <v>（株）ムロコーポレーション</v>
      </c>
      <c r="AI496" t="str">
        <f>"307"</f>
        <v>307</v>
      </c>
      <c r="AJ496" t="str">
        <f>"S-SM-3-26"</f>
        <v>S-SM-3-26</v>
      </c>
      <c r="AK496" t="str">
        <f>"10352"</f>
        <v>10352</v>
      </c>
      <c r="AL496" t="str">
        <f t="shared" si="436"/>
        <v>0370</v>
      </c>
      <c r="AM496" t="str">
        <f t="shared" si="437"/>
        <v>ｼﾑ</v>
      </c>
      <c r="AN496" t="str">
        <f t="shared" si="415"/>
        <v>012</v>
      </c>
      <c r="AO496" t="str">
        <f t="shared" si="416"/>
        <v>TP-131 ﾊﾝﾖｳ</v>
      </c>
      <c r="AP496">
        <v>100</v>
      </c>
      <c r="AQ496" t="str">
        <f>""</f>
        <v/>
      </c>
      <c r="AR496" t="str">
        <f>""</f>
        <v/>
      </c>
      <c r="AS496" t="str">
        <f>""</f>
        <v/>
      </c>
      <c r="AT496" t="str">
        <f t="shared" si="417"/>
        <v>00</v>
      </c>
      <c r="AU496">
        <v>0.5</v>
      </c>
      <c r="AV496" t="str">
        <f>""</f>
        <v/>
      </c>
      <c r="AW496" t="str">
        <f t="shared" si="438"/>
        <v>06</v>
      </c>
      <c r="AX496" t="str">
        <f t="shared" si="439"/>
        <v>計画</v>
      </c>
      <c r="AY496" t="str">
        <f t="shared" si="440"/>
        <v>02</v>
      </c>
      <c r="AZ496" t="str">
        <f t="shared" si="441"/>
        <v>計画・２社</v>
      </c>
      <c r="BA496" t="str">
        <f>""</f>
        <v/>
      </c>
      <c r="BB496" t="str">
        <f t="shared" si="418"/>
        <v>ＴＰ１３１フタナシ</v>
      </c>
      <c r="BC496" t="str">
        <f t="shared" si="419"/>
        <v xml:space="preserve"> 335.000</v>
      </c>
      <c r="BD496" t="str">
        <f t="shared" si="420"/>
        <v xml:space="preserve"> 168.000</v>
      </c>
      <c r="BE496" t="str">
        <f t="shared" si="421"/>
        <v xml:space="preserve"> 103.000</v>
      </c>
      <c r="BF496" t="str">
        <f t="shared" si="422"/>
        <v xml:space="preserve">   0.006</v>
      </c>
      <c r="BG496" t="str">
        <f t="shared" si="447"/>
        <v xml:space="preserve">   6.500</v>
      </c>
      <c r="BH496" t="str">
        <f t="shared" si="448"/>
        <v>しない</v>
      </c>
      <c r="BI496" t="str">
        <f>""</f>
        <v/>
      </c>
      <c r="BJ496" t="str">
        <f t="shared" si="445"/>
        <v>MASTER01</v>
      </c>
      <c r="BK496" t="str">
        <f t="shared" si="446"/>
        <v>2022/04/19</v>
      </c>
      <c r="BL496" t="str">
        <f t="shared" si="433"/>
        <v>NE00</v>
      </c>
      <c r="BM496" t="str">
        <f t="shared" si="434"/>
        <v>１工工務Ｇ</v>
      </c>
      <c r="BN496" t="str">
        <f t="shared" si="442"/>
        <v>46548</v>
      </c>
      <c r="BO496" t="str">
        <f t="shared" si="443"/>
        <v>長畑　玲奈</v>
      </c>
    </row>
    <row r="497" spans="1:67">
      <c r="A497" t="s">
        <v>579</v>
      </c>
      <c r="B497" t="str">
        <f>""</f>
        <v/>
      </c>
      <c r="C497" t="str">
        <f>""</f>
        <v/>
      </c>
      <c r="D497" t="str">
        <f t="shared" si="435"/>
        <v>SHIM</v>
      </c>
      <c r="E497" t="str">
        <f t="shared" si="423"/>
        <v>1Y</v>
      </c>
      <c r="F497" t="str">
        <f t="shared" si="424"/>
        <v>第１工場</v>
      </c>
      <c r="G497" t="str">
        <f t="shared" si="425"/>
        <v>手配</v>
      </c>
      <c r="H497" t="str">
        <f t="shared" si="426"/>
        <v>Ｐ</v>
      </c>
      <c r="I497" t="str">
        <f t="shared" si="411"/>
        <v>6454</v>
      </c>
      <c r="J497" t="str">
        <f t="shared" si="412"/>
        <v>（株）ムロコーポレーション</v>
      </c>
      <c r="K497" t="str">
        <f t="shared" si="410"/>
        <v>01</v>
      </c>
      <c r="L497" t="str">
        <f>""</f>
        <v/>
      </c>
      <c r="M497" t="str">
        <f t="shared" si="449"/>
        <v>――</v>
      </c>
      <c r="N497" t="str">
        <f t="shared" si="449"/>
        <v>――</v>
      </c>
      <c r="O497" t="str">
        <f t="shared" si="427"/>
        <v>Ｍ</v>
      </c>
      <c r="P497" t="str">
        <f t="shared" si="428"/>
        <v>01</v>
      </c>
      <c r="Q497" t="str">
        <f t="shared" si="429"/>
        <v>第１</v>
      </c>
      <c r="R497" t="str">
        <f t="shared" si="430"/>
        <v>1Y</v>
      </c>
      <c r="S497" t="str">
        <f t="shared" si="431"/>
        <v>安城第１工場</v>
      </c>
      <c r="T497" t="str">
        <f t="shared" si="432"/>
        <v>直接</v>
      </c>
      <c r="U497" t="str">
        <f>""</f>
        <v/>
      </c>
      <c r="V497" t="str">
        <f>""</f>
        <v/>
      </c>
      <c r="W497" t="str">
        <f>""</f>
        <v/>
      </c>
      <c r="X497">
        <v>1</v>
      </c>
      <c r="Y497">
        <v>1</v>
      </c>
      <c r="Z497">
        <v>0.73</v>
      </c>
      <c r="AA497">
        <v>0.93</v>
      </c>
      <c r="AB497">
        <v>3</v>
      </c>
      <c r="AC497">
        <v>0.93</v>
      </c>
      <c r="AD497">
        <v>0.93</v>
      </c>
      <c r="AE497">
        <v>1.1000000000000001</v>
      </c>
      <c r="AF497">
        <v>0.5</v>
      </c>
      <c r="AG497" t="str">
        <f t="shared" si="413"/>
        <v>205</v>
      </c>
      <c r="AH497" t="str">
        <f t="shared" si="414"/>
        <v>（株）ムロコーポレーション</v>
      </c>
      <c r="AI497" t="str">
        <f>"308"</f>
        <v>308</v>
      </c>
      <c r="AJ497" t="str">
        <f>"S-SM-3-27"</f>
        <v>S-SM-3-27</v>
      </c>
      <c r="AK497" t="str">
        <f>"10353"</f>
        <v>10353</v>
      </c>
      <c r="AL497" t="str">
        <f t="shared" si="436"/>
        <v>0370</v>
      </c>
      <c r="AM497" t="str">
        <f t="shared" si="437"/>
        <v>ｼﾑ</v>
      </c>
      <c r="AN497" t="str">
        <f t="shared" si="415"/>
        <v>012</v>
      </c>
      <c r="AO497" t="str">
        <f t="shared" si="416"/>
        <v>TP-131 ﾊﾝﾖｳ</v>
      </c>
      <c r="AP497">
        <v>100</v>
      </c>
      <c r="AQ497" t="str">
        <f>""</f>
        <v/>
      </c>
      <c r="AR497" t="str">
        <f>""</f>
        <v/>
      </c>
      <c r="AS497" t="str">
        <f>""</f>
        <v/>
      </c>
      <c r="AT497" t="str">
        <f t="shared" si="417"/>
        <v>00</v>
      </c>
      <c r="AU497">
        <v>0.5</v>
      </c>
      <c r="AV497" t="str">
        <f>""</f>
        <v/>
      </c>
      <c r="AW497" t="str">
        <f t="shared" si="438"/>
        <v>06</v>
      </c>
      <c r="AX497" t="str">
        <f t="shared" si="439"/>
        <v>計画</v>
      </c>
      <c r="AY497" t="str">
        <f t="shared" si="440"/>
        <v>02</v>
      </c>
      <c r="AZ497" t="str">
        <f t="shared" si="441"/>
        <v>計画・２社</v>
      </c>
      <c r="BA497" t="str">
        <f>""</f>
        <v/>
      </c>
      <c r="BB497" t="str">
        <f t="shared" si="418"/>
        <v>ＴＰ１３１フタナシ</v>
      </c>
      <c r="BC497" t="str">
        <f t="shared" si="419"/>
        <v xml:space="preserve"> 335.000</v>
      </c>
      <c r="BD497" t="str">
        <f t="shared" si="420"/>
        <v xml:space="preserve"> 168.000</v>
      </c>
      <c r="BE497" t="str">
        <f t="shared" si="421"/>
        <v xml:space="preserve"> 103.000</v>
      </c>
      <c r="BF497" t="str">
        <f t="shared" si="422"/>
        <v xml:space="preserve">   0.006</v>
      </c>
      <c r="BG497" t="str">
        <f t="shared" si="447"/>
        <v xml:space="preserve">   6.500</v>
      </c>
      <c r="BH497" t="str">
        <f t="shared" si="448"/>
        <v>しない</v>
      </c>
      <c r="BI497" t="str">
        <f>""</f>
        <v/>
      </c>
      <c r="BJ497" t="str">
        <f t="shared" si="445"/>
        <v>MASTER01</v>
      </c>
      <c r="BK497" t="str">
        <f t="shared" si="446"/>
        <v>2022/04/19</v>
      </c>
      <c r="BL497" t="str">
        <f t="shared" si="433"/>
        <v>NE00</v>
      </c>
      <c r="BM497" t="str">
        <f t="shared" si="434"/>
        <v>１工工務Ｇ</v>
      </c>
      <c r="BN497" t="str">
        <f t="shared" si="442"/>
        <v>46548</v>
      </c>
      <c r="BO497" t="str">
        <f t="shared" si="443"/>
        <v>長畑　玲奈</v>
      </c>
    </row>
    <row r="498" spans="1:67">
      <c r="A498" t="s">
        <v>580</v>
      </c>
      <c r="B498" t="str">
        <f>""</f>
        <v/>
      </c>
      <c r="C498" t="str">
        <f>""</f>
        <v/>
      </c>
      <c r="D498" t="s">
        <v>9</v>
      </c>
      <c r="E498" t="str">
        <f t="shared" si="423"/>
        <v>1Y</v>
      </c>
      <c r="F498" t="str">
        <f t="shared" si="424"/>
        <v>第１工場</v>
      </c>
      <c r="G498" t="str">
        <f t="shared" si="425"/>
        <v>手配</v>
      </c>
      <c r="H498" t="str">
        <f t="shared" si="426"/>
        <v>Ｐ</v>
      </c>
      <c r="I498" t="str">
        <f>"6616"</f>
        <v>6616</v>
      </c>
      <c r="J498" t="str">
        <f>"（株）メイドー"</f>
        <v>（株）メイドー</v>
      </c>
      <c r="K498" t="str">
        <f t="shared" si="410"/>
        <v>01</v>
      </c>
      <c r="L498" t="str">
        <f>""</f>
        <v/>
      </c>
      <c r="M498" t="str">
        <f t="shared" si="449"/>
        <v>――</v>
      </c>
      <c r="N498" t="str">
        <f t="shared" si="449"/>
        <v>――</v>
      </c>
      <c r="O498" t="str">
        <f t="shared" si="427"/>
        <v>Ｍ</v>
      </c>
      <c r="P498" t="str">
        <f t="shared" si="428"/>
        <v>01</v>
      </c>
      <c r="Q498" t="str">
        <f t="shared" si="429"/>
        <v>第１</v>
      </c>
      <c r="R498" t="str">
        <f t="shared" si="430"/>
        <v>1Y</v>
      </c>
      <c r="S498" t="str">
        <f t="shared" si="431"/>
        <v>安城第１工場</v>
      </c>
      <c r="T498" t="str">
        <f t="shared" si="432"/>
        <v>直接</v>
      </c>
      <c r="U498" t="str">
        <f>""</f>
        <v/>
      </c>
      <c r="V498" t="str">
        <f>""</f>
        <v/>
      </c>
      <c r="W498" t="str">
        <f>""</f>
        <v/>
      </c>
      <c r="X498">
        <v>1</v>
      </c>
      <c r="Y498">
        <v>6</v>
      </c>
      <c r="Z498">
        <v>4.5599999999999996</v>
      </c>
      <c r="AA498">
        <v>0.48</v>
      </c>
      <c r="AB498">
        <v>3</v>
      </c>
      <c r="AC498">
        <v>0.55000000000000004</v>
      </c>
      <c r="AD498">
        <v>0.55000000000000004</v>
      </c>
      <c r="AE498">
        <v>1.1000000000000001</v>
      </c>
      <c r="AF498">
        <v>0.5</v>
      </c>
      <c r="AG498" t="str">
        <f>"631"</f>
        <v>631</v>
      </c>
      <c r="AH498" t="str">
        <f>"（株）メイドー"</f>
        <v>（株）メイドー</v>
      </c>
      <c r="AI498" t="str">
        <f>"001"</f>
        <v>001</v>
      </c>
      <c r="AJ498" t="str">
        <f>""</f>
        <v/>
      </c>
      <c r="AK498" t="str">
        <f>""</f>
        <v/>
      </c>
      <c r="AL498" t="str">
        <f>"1836"</f>
        <v>1836</v>
      </c>
      <c r="AM498" t="str">
        <f>"ﾎﾞﾙﾄ ﾌﾗﾝｼﾞ"</f>
        <v>ﾎﾞﾙﾄ ﾌﾗﾝｼﾞ</v>
      </c>
      <c r="AN498" t="str">
        <f>"014"</f>
        <v>014</v>
      </c>
      <c r="AO498" t="str">
        <f>"TP-331 ﾊﾝﾖｳ"</f>
        <v>TP-331 ﾊﾝﾖｳ</v>
      </c>
      <c r="AP498">
        <v>210</v>
      </c>
      <c r="AQ498" t="str">
        <f>""</f>
        <v/>
      </c>
      <c r="AR498" t="str">
        <f>""</f>
        <v/>
      </c>
      <c r="AS498" t="str">
        <f>""</f>
        <v/>
      </c>
      <c r="AT498" t="str">
        <f t="shared" si="417"/>
        <v>00</v>
      </c>
      <c r="AU498">
        <v>0.8</v>
      </c>
      <c r="AV498" t="str">
        <f>""</f>
        <v/>
      </c>
      <c r="AW498" t="str">
        <f>""</f>
        <v/>
      </c>
      <c r="AX498" t="str">
        <f>""</f>
        <v/>
      </c>
      <c r="AY498" t="str">
        <f>""</f>
        <v/>
      </c>
      <c r="AZ498" t="str">
        <f>""</f>
        <v/>
      </c>
      <c r="BA498" t="str">
        <f>""</f>
        <v/>
      </c>
      <c r="BB498" t="str">
        <f>"ＴＰ３３１フタナシ"</f>
        <v>ＴＰ３３１フタナシ</v>
      </c>
      <c r="BC498" t="str">
        <f t="shared" si="419"/>
        <v xml:space="preserve"> 335.000</v>
      </c>
      <c r="BD498" t="str">
        <f t="shared" si="419"/>
        <v xml:space="preserve"> 335.000</v>
      </c>
      <c r="BE498" t="str">
        <f t="shared" si="421"/>
        <v xml:space="preserve"> 103.000</v>
      </c>
      <c r="BF498" t="str">
        <f>"   0.012"</f>
        <v xml:space="preserve">   0.012</v>
      </c>
      <c r="BG498" t="str">
        <f>"  10.489"</f>
        <v xml:space="preserve">  10.489</v>
      </c>
      <c r="BH498" t="str">
        <f t="shared" si="448"/>
        <v>しない</v>
      </c>
      <c r="BI498" t="str">
        <f>""</f>
        <v/>
      </c>
      <c r="BJ498" t="str">
        <f t="shared" si="445"/>
        <v>MASTER01</v>
      </c>
      <c r="BK498" t="str">
        <f>"2023/01/17"</f>
        <v>2023/01/17</v>
      </c>
      <c r="BL498" t="str">
        <f t="shared" si="433"/>
        <v>NE00</v>
      </c>
      <c r="BM498" t="str">
        <f t="shared" si="434"/>
        <v>１工工務Ｇ</v>
      </c>
      <c r="BN498" t="str">
        <f t="shared" si="442"/>
        <v>46548</v>
      </c>
      <c r="BO498" t="str">
        <f t="shared" si="443"/>
        <v>長畑　玲奈</v>
      </c>
    </row>
    <row r="499" spans="1:67">
      <c r="A499" t="s">
        <v>581</v>
      </c>
      <c r="B499" t="str">
        <f>""</f>
        <v/>
      </c>
      <c r="C499" t="str">
        <f>""</f>
        <v/>
      </c>
      <c r="D499" t="s">
        <v>71</v>
      </c>
      <c r="E499" t="str">
        <f t="shared" si="423"/>
        <v>1Y</v>
      </c>
      <c r="F499" t="str">
        <f t="shared" si="424"/>
        <v>第１工場</v>
      </c>
      <c r="G499" t="str">
        <f t="shared" si="425"/>
        <v>手配</v>
      </c>
      <c r="H499" t="str">
        <f t="shared" si="426"/>
        <v>Ｐ</v>
      </c>
      <c r="I499" t="str">
        <f t="shared" ref="I499:I507" si="450">"7002"</f>
        <v>7002</v>
      </c>
      <c r="J499" t="str">
        <f t="shared" ref="J499:J507" si="451">"矢崎総業（株）"</f>
        <v>矢崎総業（株）</v>
      </c>
      <c r="K499" t="str">
        <f t="shared" si="410"/>
        <v>01</v>
      </c>
      <c r="L499" t="str">
        <f>""</f>
        <v/>
      </c>
      <c r="M499" t="str">
        <f t="shared" si="449"/>
        <v>――</v>
      </c>
      <c r="N499" t="str">
        <f t="shared" si="449"/>
        <v>――</v>
      </c>
      <c r="O499" t="str">
        <f t="shared" si="427"/>
        <v>Ｍ</v>
      </c>
      <c r="P499" t="str">
        <f t="shared" si="428"/>
        <v>01</v>
      </c>
      <c r="Q499" t="str">
        <f t="shared" si="429"/>
        <v>第１</v>
      </c>
      <c r="R499" t="str">
        <f t="shared" si="430"/>
        <v>1Y</v>
      </c>
      <c r="S499" t="str">
        <f t="shared" si="431"/>
        <v>安城第１工場</v>
      </c>
      <c r="T499" t="str">
        <f t="shared" si="432"/>
        <v>直接</v>
      </c>
      <c r="U499" t="str">
        <f>""</f>
        <v/>
      </c>
      <c r="V499" t="str">
        <f>""</f>
        <v/>
      </c>
      <c r="W499" t="str">
        <f>""</f>
        <v/>
      </c>
      <c r="X499">
        <v>1</v>
      </c>
      <c r="Y499">
        <v>1</v>
      </c>
      <c r="Z499">
        <v>1.79</v>
      </c>
      <c r="AA499">
        <v>1.03</v>
      </c>
      <c r="AB499">
        <v>3</v>
      </c>
      <c r="AC499">
        <v>1.03</v>
      </c>
      <c r="AD499">
        <v>1.03</v>
      </c>
      <c r="AE499">
        <v>1.1000000000000001</v>
      </c>
      <c r="AF499">
        <v>0.5</v>
      </c>
      <c r="AG499" t="str">
        <f t="shared" ref="AG499:AG507" si="452">"058"</f>
        <v>058</v>
      </c>
      <c r="AH499" t="str">
        <f t="shared" ref="AH499:AH507" si="453">"矢崎総業（株）"</f>
        <v>矢崎総業（株）</v>
      </c>
      <c r="AI499" t="str">
        <f>"007"</f>
        <v>007</v>
      </c>
      <c r="AJ499" t="str">
        <f>""</f>
        <v/>
      </c>
      <c r="AK499" t="str">
        <f>""</f>
        <v/>
      </c>
      <c r="AL499" t="str">
        <f>"6402"</f>
        <v>6402</v>
      </c>
      <c r="AM499" t="str">
        <f>"ﾜｲﾔ- T/M"</f>
        <v>ﾜｲﾔ- T/M</v>
      </c>
      <c r="AN499" t="str">
        <f>"016"</f>
        <v>016</v>
      </c>
      <c r="AO499" t="str">
        <f>"TP-332 ﾊﾝﾖｳ"</f>
        <v>TP-332 ﾊﾝﾖｳ</v>
      </c>
      <c r="AP499">
        <v>100</v>
      </c>
      <c r="AQ499" t="str">
        <f>""</f>
        <v/>
      </c>
      <c r="AR499" t="str">
        <f>""</f>
        <v/>
      </c>
      <c r="AS499" t="str">
        <f>""</f>
        <v/>
      </c>
      <c r="AT499" t="str">
        <f t="shared" si="417"/>
        <v>00</v>
      </c>
      <c r="AU499">
        <v>0.5</v>
      </c>
      <c r="AV499" t="str">
        <f>""</f>
        <v/>
      </c>
      <c r="AW499" t="str">
        <f>""</f>
        <v/>
      </c>
      <c r="AX499" t="str">
        <f>""</f>
        <v/>
      </c>
      <c r="AY499" t="str">
        <f>""</f>
        <v/>
      </c>
      <c r="AZ499" t="str">
        <f>""</f>
        <v/>
      </c>
      <c r="BA499" t="str">
        <f>""</f>
        <v/>
      </c>
      <c r="BB499" t="str">
        <f>"ＴＰ３３２フタアリ"</f>
        <v>ＴＰ３３２フタアリ</v>
      </c>
      <c r="BC499" t="str">
        <f t="shared" si="419"/>
        <v xml:space="preserve"> 335.000</v>
      </c>
      <c r="BD499" t="str">
        <f t="shared" si="419"/>
        <v xml:space="preserve"> 335.000</v>
      </c>
      <c r="BE499" t="str">
        <f>" 216.000"</f>
        <v xml:space="preserve"> 216.000</v>
      </c>
      <c r="BF499" t="str">
        <f>"   0.024"</f>
        <v xml:space="preserve">   0.024</v>
      </c>
      <c r="BG499" t="str">
        <f>"   9.300"</f>
        <v xml:space="preserve">   9.300</v>
      </c>
      <c r="BH499" t="str">
        <f t="shared" si="448"/>
        <v>しない</v>
      </c>
      <c r="BI499" t="str">
        <f>""</f>
        <v/>
      </c>
      <c r="BJ499" t="str">
        <f t="shared" si="445"/>
        <v>MASTER01</v>
      </c>
      <c r="BK499" t="str">
        <f>"2023/01/17"</f>
        <v>2023/01/17</v>
      </c>
      <c r="BL499" t="str">
        <f t="shared" si="433"/>
        <v>NE00</v>
      </c>
      <c r="BM499" t="str">
        <f t="shared" si="434"/>
        <v>１工工務Ｇ</v>
      </c>
      <c r="BN499" t="str">
        <f t="shared" si="442"/>
        <v>46548</v>
      </c>
      <c r="BO499" t="str">
        <f t="shared" si="443"/>
        <v>長畑　玲奈</v>
      </c>
    </row>
    <row r="500" spans="1:67">
      <c r="A500" t="s">
        <v>582</v>
      </c>
      <c r="B500" t="str">
        <f>""</f>
        <v/>
      </c>
      <c r="C500" t="str">
        <f>""</f>
        <v/>
      </c>
      <c r="D500" t="s">
        <v>71</v>
      </c>
      <c r="E500" t="str">
        <f t="shared" si="423"/>
        <v>1Y</v>
      </c>
      <c r="F500" t="str">
        <f t="shared" si="424"/>
        <v>第１工場</v>
      </c>
      <c r="G500" t="str">
        <f t="shared" si="425"/>
        <v>手配</v>
      </c>
      <c r="H500" t="str">
        <f t="shared" si="426"/>
        <v>Ｐ</v>
      </c>
      <c r="I500" t="str">
        <f t="shared" si="450"/>
        <v>7002</v>
      </c>
      <c r="J500" t="str">
        <f t="shared" si="451"/>
        <v>矢崎総業（株）</v>
      </c>
      <c r="K500" t="str">
        <f t="shared" si="410"/>
        <v>01</v>
      </c>
      <c r="L500" t="str">
        <f>""</f>
        <v/>
      </c>
      <c r="M500" t="str">
        <f t="shared" si="449"/>
        <v>――</v>
      </c>
      <c r="N500" t="str">
        <f t="shared" si="449"/>
        <v>――</v>
      </c>
      <c r="O500" t="str">
        <f t="shared" si="427"/>
        <v>Ｍ</v>
      </c>
      <c r="P500" t="str">
        <f t="shared" si="428"/>
        <v>01</v>
      </c>
      <c r="Q500" t="str">
        <f t="shared" si="429"/>
        <v>第１</v>
      </c>
      <c r="R500" t="str">
        <f t="shared" si="430"/>
        <v>1Y</v>
      </c>
      <c r="S500" t="str">
        <f t="shared" si="431"/>
        <v>安城第１工場</v>
      </c>
      <c r="T500" t="str">
        <f t="shared" si="432"/>
        <v>直接</v>
      </c>
      <c r="U500" t="str">
        <f>""</f>
        <v/>
      </c>
      <c r="V500" t="str">
        <f>""</f>
        <v/>
      </c>
      <c r="W500" t="str">
        <f>""</f>
        <v/>
      </c>
      <c r="X500">
        <v>1</v>
      </c>
      <c r="Y500">
        <v>1</v>
      </c>
      <c r="Z500">
        <v>1.79</v>
      </c>
      <c r="AA500">
        <v>1.03</v>
      </c>
      <c r="AB500">
        <v>3</v>
      </c>
      <c r="AC500">
        <v>1.03</v>
      </c>
      <c r="AD500">
        <v>1.03</v>
      </c>
      <c r="AE500">
        <v>1.1000000000000001</v>
      </c>
      <c r="AF500">
        <v>0.5</v>
      </c>
      <c r="AG500" t="str">
        <f t="shared" si="452"/>
        <v>058</v>
      </c>
      <c r="AH500" t="str">
        <f t="shared" si="453"/>
        <v>矢崎総業（株）</v>
      </c>
      <c r="AI500" t="str">
        <f>"001"</f>
        <v>001</v>
      </c>
      <c r="AJ500" t="str">
        <f>"M-MG-21"</f>
        <v>M-MG-21</v>
      </c>
      <c r="AK500" t="str">
        <f>"30487"</f>
        <v>30487</v>
      </c>
      <c r="AL500" t="str">
        <f>"6402"</f>
        <v>6402</v>
      </c>
      <c r="AM500" t="str">
        <f>"ﾜｲﾔ-T/M"</f>
        <v>ﾜｲﾔ-T/M</v>
      </c>
      <c r="AN500" t="str">
        <f>"016"</f>
        <v>016</v>
      </c>
      <c r="AO500" t="str">
        <f>"TP-332 ﾊﾝﾖｳ"</f>
        <v>TP-332 ﾊﾝﾖｳ</v>
      </c>
      <c r="AP500">
        <v>100</v>
      </c>
      <c r="AQ500" t="str">
        <f>""</f>
        <v/>
      </c>
      <c r="AR500" t="str">
        <f>""</f>
        <v/>
      </c>
      <c r="AS500" t="str">
        <f>""</f>
        <v/>
      </c>
      <c r="AT500" t="str">
        <f t="shared" si="417"/>
        <v>00</v>
      </c>
      <c r="AU500">
        <v>0.5</v>
      </c>
      <c r="AV500" t="str">
        <f>""</f>
        <v/>
      </c>
      <c r="AW500" t="str">
        <f>"08"</f>
        <v>08</v>
      </c>
      <c r="AX500" t="str">
        <f>"専用"</f>
        <v>専用</v>
      </c>
      <c r="AY500" t="str">
        <f>"01"</f>
        <v>01</v>
      </c>
      <c r="AZ500" t="str">
        <f>"後補充"</f>
        <v>後補充</v>
      </c>
      <c r="BA500" t="str">
        <f>""</f>
        <v/>
      </c>
      <c r="BB500" t="str">
        <f>"ＴＰ３３２フタアリ"</f>
        <v>ＴＰ３３２フタアリ</v>
      </c>
      <c r="BC500" t="str">
        <f t="shared" si="419"/>
        <v xml:space="preserve"> 335.000</v>
      </c>
      <c r="BD500" t="str">
        <f t="shared" si="419"/>
        <v xml:space="preserve"> 335.000</v>
      </c>
      <c r="BE500" t="str">
        <f>" 216.000"</f>
        <v xml:space="preserve"> 216.000</v>
      </c>
      <c r="BF500" t="str">
        <f>"   0.024"</f>
        <v xml:space="preserve">   0.024</v>
      </c>
      <c r="BG500" t="str">
        <f>"   9.300"</f>
        <v xml:space="preserve">   9.300</v>
      </c>
      <c r="BH500" t="str">
        <f t="shared" si="448"/>
        <v>しない</v>
      </c>
      <c r="BI500" t="str">
        <f>""</f>
        <v/>
      </c>
      <c r="BJ500" t="str">
        <f t="shared" si="445"/>
        <v>MASTER01</v>
      </c>
      <c r="BK500" t="str">
        <f>"2022/04/19"</f>
        <v>2022/04/19</v>
      </c>
      <c r="BL500" t="str">
        <f t="shared" si="433"/>
        <v>NE00</v>
      </c>
      <c r="BM500" t="str">
        <f t="shared" si="434"/>
        <v>１工工務Ｇ</v>
      </c>
      <c r="BN500" t="str">
        <f t="shared" si="442"/>
        <v>46548</v>
      </c>
      <c r="BO500" t="str">
        <f t="shared" si="443"/>
        <v>長畑　玲奈</v>
      </c>
    </row>
    <row r="501" spans="1:67">
      <c r="A501" t="s">
        <v>583</v>
      </c>
      <c r="B501" t="str">
        <f>""</f>
        <v/>
      </c>
      <c r="C501" t="str">
        <f>""</f>
        <v/>
      </c>
      <c r="D501" t="s">
        <v>71</v>
      </c>
      <c r="E501" t="str">
        <f t="shared" si="423"/>
        <v>1Y</v>
      </c>
      <c r="F501" t="str">
        <f t="shared" si="424"/>
        <v>第１工場</v>
      </c>
      <c r="G501" t="str">
        <f t="shared" si="425"/>
        <v>手配</v>
      </c>
      <c r="H501" t="str">
        <f t="shared" si="426"/>
        <v>Ｐ</v>
      </c>
      <c r="I501" t="str">
        <f t="shared" si="450"/>
        <v>7002</v>
      </c>
      <c r="J501" t="str">
        <f t="shared" si="451"/>
        <v>矢崎総業（株）</v>
      </c>
      <c r="K501" t="str">
        <f t="shared" si="410"/>
        <v>01</v>
      </c>
      <c r="L501" t="str">
        <f>""</f>
        <v/>
      </c>
      <c r="M501" t="str">
        <f t="shared" si="449"/>
        <v>――</v>
      </c>
      <c r="N501" t="str">
        <f t="shared" si="449"/>
        <v>――</v>
      </c>
      <c r="O501" t="str">
        <f t="shared" si="427"/>
        <v>Ｍ</v>
      </c>
      <c r="P501" t="str">
        <f t="shared" si="428"/>
        <v>01</v>
      </c>
      <c r="Q501" t="str">
        <f t="shared" si="429"/>
        <v>第１</v>
      </c>
      <c r="R501" t="str">
        <f t="shared" si="430"/>
        <v>1Y</v>
      </c>
      <c r="S501" t="str">
        <f t="shared" si="431"/>
        <v>安城第１工場</v>
      </c>
      <c r="T501" t="str">
        <f t="shared" si="432"/>
        <v>直接</v>
      </c>
      <c r="U501" t="str">
        <f>""</f>
        <v/>
      </c>
      <c r="V501" t="str">
        <f>""</f>
        <v/>
      </c>
      <c r="W501" t="str">
        <f>""</f>
        <v/>
      </c>
      <c r="X501">
        <v>1</v>
      </c>
      <c r="Y501">
        <v>1</v>
      </c>
      <c r="Z501">
        <v>1.79</v>
      </c>
      <c r="AA501">
        <v>1.03</v>
      </c>
      <c r="AB501">
        <v>3</v>
      </c>
      <c r="AC501">
        <v>1.03</v>
      </c>
      <c r="AD501">
        <v>1.03</v>
      </c>
      <c r="AE501">
        <v>1.1000000000000001</v>
      </c>
      <c r="AF501">
        <v>0.5</v>
      </c>
      <c r="AG501" t="str">
        <f t="shared" si="452"/>
        <v>058</v>
      </c>
      <c r="AH501" t="str">
        <f t="shared" si="453"/>
        <v>矢崎総業（株）</v>
      </c>
      <c r="AI501" t="str">
        <f>"004"</f>
        <v>004</v>
      </c>
      <c r="AJ501" t="str">
        <f>"S-TA-2-25"</f>
        <v>S-TA-2-25</v>
      </c>
      <c r="AK501" t="str">
        <f>"30489"</f>
        <v>30489</v>
      </c>
      <c r="AL501" t="str">
        <f>"6402"</f>
        <v>6402</v>
      </c>
      <c r="AM501" t="str">
        <f>"ﾜｲﾔ-T/M"</f>
        <v>ﾜｲﾔ-T/M</v>
      </c>
      <c r="AN501" t="str">
        <f>"016"</f>
        <v>016</v>
      </c>
      <c r="AO501" t="str">
        <f>"TP-332 ﾊﾝﾖｳ"</f>
        <v>TP-332 ﾊﾝﾖｳ</v>
      </c>
      <c r="AP501">
        <v>100</v>
      </c>
      <c r="AQ501" t="str">
        <f>""</f>
        <v/>
      </c>
      <c r="AR501" t="str">
        <f>""</f>
        <v/>
      </c>
      <c r="AS501" t="str">
        <f>""</f>
        <v/>
      </c>
      <c r="AT501" t="str">
        <f t="shared" si="417"/>
        <v>00</v>
      </c>
      <c r="AU501">
        <v>0.5</v>
      </c>
      <c r="AV501" t="str">
        <f>""</f>
        <v/>
      </c>
      <c r="AW501" t="str">
        <f>"08"</f>
        <v>08</v>
      </c>
      <c r="AX501" t="str">
        <f>"専用"</f>
        <v>専用</v>
      </c>
      <c r="AY501" t="str">
        <f>"01"</f>
        <v>01</v>
      </c>
      <c r="AZ501" t="str">
        <f>"後補充"</f>
        <v>後補充</v>
      </c>
      <c r="BA501" t="str">
        <f>""</f>
        <v/>
      </c>
      <c r="BB501" t="str">
        <f>"ＴＰ３３２フタアリ"</f>
        <v>ＴＰ３３２フタアリ</v>
      </c>
      <c r="BC501" t="str">
        <f t="shared" si="419"/>
        <v xml:space="preserve"> 335.000</v>
      </c>
      <c r="BD501" t="str">
        <f t="shared" si="419"/>
        <v xml:space="preserve"> 335.000</v>
      </c>
      <c r="BE501" t="str">
        <f>" 216.000"</f>
        <v xml:space="preserve"> 216.000</v>
      </c>
      <c r="BF501" t="str">
        <f>"   0.024"</f>
        <v xml:space="preserve">   0.024</v>
      </c>
      <c r="BG501" t="str">
        <f>"   5.800"</f>
        <v xml:space="preserve">   5.800</v>
      </c>
      <c r="BH501" t="str">
        <f t="shared" si="448"/>
        <v>しない</v>
      </c>
      <c r="BI501" t="str">
        <f>""</f>
        <v/>
      </c>
      <c r="BJ501" t="str">
        <f t="shared" si="445"/>
        <v>MASTER01</v>
      </c>
      <c r="BK501" t="str">
        <f>"2022/04/19"</f>
        <v>2022/04/19</v>
      </c>
      <c r="BL501" t="str">
        <f t="shared" si="433"/>
        <v>NE00</v>
      </c>
      <c r="BM501" t="str">
        <f t="shared" si="434"/>
        <v>１工工務Ｇ</v>
      </c>
      <c r="BN501" t="str">
        <f t="shared" si="442"/>
        <v>46548</v>
      </c>
      <c r="BO501" t="str">
        <f t="shared" si="443"/>
        <v>長畑　玲奈</v>
      </c>
    </row>
    <row r="502" spans="1:67">
      <c r="A502" t="s">
        <v>584</v>
      </c>
      <c r="B502" t="str">
        <f>""</f>
        <v/>
      </c>
      <c r="C502" t="str">
        <f>""</f>
        <v/>
      </c>
      <c r="D502" t="s">
        <v>56</v>
      </c>
      <c r="E502" t="str">
        <f t="shared" si="423"/>
        <v>1Y</v>
      </c>
      <c r="F502" t="str">
        <f t="shared" si="424"/>
        <v>第１工場</v>
      </c>
      <c r="G502" t="str">
        <f t="shared" si="425"/>
        <v>手配</v>
      </c>
      <c r="H502" t="str">
        <f t="shared" si="426"/>
        <v>Ｐ</v>
      </c>
      <c r="I502" t="str">
        <f t="shared" si="450"/>
        <v>7002</v>
      </c>
      <c r="J502" t="str">
        <f t="shared" si="451"/>
        <v>矢崎総業（株）</v>
      </c>
      <c r="K502" t="str">
        <f t="shared" si="410"/>
        <v>01</v>
      </c>
      <c r="L502" t="str">
        <f>""</f>
        <v/>
      </c>
      <c r="M502" t="str">
        <f t="shared" si="449"/>
        <v>――</v>
      </c>
      <c r="N502" t="str">
        <f t="shared" si="449"/>
        <v>――</v>
      </c>
      <c r="O502" t="str">
        <f t="shared" si="427"/>
        <v>Ｍ</v>
      </c>
      <c r="P502" t="str">
        <f t="shared" si="428"/>
        <v>01</v>
      </c>
      <c r="Q502" t="str">
        <f t="shared" si="429"/>
        <v>第１</v>
      </c>
      <c r="R502" t="str">
        <f t="shared" si="430"/>
        <v>1Y</v>
      </c>
      <c r="S502" t="str">
        <f t="shared" si="431"/>
        <v>安城第１工場</v>
      </c>
      <c r="T502" t="str">
        <f t="shared" si="432"/>
        <v>直接</v>
      </c>
      <c r="U502" t="str">
        <f>""</f>
        <v/>
      </c>
      <c r="V502" t="str">
        <f>""</f>
        <v/>
      </c>
      <c r="W502" t="str">
        <f>""</f>
        <v/>
      </c>
      <c r="X502">
        <v>1</v>
      </c>
      <c r="Y502">
        <v>1</v>
      </c>
      <c r="Z502">
        <v>1.79</v>
      </c>
      <c r="AA502">
        <v>1.03</v>
      </c>
      <c r="AB502">
        <v>3</v>
      </c>
      <c r="AC502">
        <v>1.03</v>
      </c>
      <c r="AD502">
        <v>1.03</v>
      </c>
      <c r="AE502">
        <v>1.1000000000000001</v>
      </c>
      <c r="AF502">
        <v>0.5</v>
      </c>
      <c r="AG502" t="str">
        <f t="shared" si="452"/>
        <v>058</v>
      </c>
      <c r="AH502" t="str">
        <f t="shared" si="453"/>
        <v>矢崎総業（株）</v>
      </c>
      <c r="AI502" t="str">
        <f>"009"</f>
        <v>009</v>
      </c>
      <c r="AJ502" t="str">
        <f>""</f>
        <v/>
      </c>
      <c r="AK502" t="str">
        <f>""</f>
        <v/>
      </c>
      <c r="AL502" t="str">
        <f>"9208"</f>
        <v>9208</v>
      </c>
      <c r="AM502" t="str">
        <f>"ﾜｲﾔﾘﾝｸﾞﾊｰﾈｽｺﾈｸﾀ"</f>
        <v>ﾜｲﾔﾘﾝｸﾞﾊｰﾈｽｺﾈｸﾀ</v>
      </c>
      <c r="AN502" t="str">
        <f>"014"</f>
        <v>014</v>
      </c>
      <c r="AO502" t="str">
        <f>"TP-331 ﾊﾝﾖｳ"</f>
        <v>TP-331 ﾊﾝﾖｳ</v>
      </c>
      <c r="AP502">
        <v>40</v>
      </c>
      <c r="AQ502" t="str">
        <f>""</f>
        <v/>
      </c>
      <c r="AR502" t="str">
        <f>""</f>
        <v/>
      </c>
      <c r="AS502" t="str">
        <f>""</f>
        <v/>
      </c>
      <c r="AT502" t="str">
        <f t="shared" si="417"/>
        <v>00</v>
      </c>
      <c r="AU502">
        <v>0.5</v>
      </c>
      <c r="AV502" t="str">
        <f>""</f>
        <v/>
      </c>
      <c r="AW502" t="str">
        <f>""</f>
        <v/>
      </c>
      <c r="AX502" t="str">
        <f>""</f>
        <v/>
      </c>
      <c r="AY502" t="str">
        <f>""</f>
        <v/>
      </c>
      <c r="AZ502" t="str">
        <f>""</f>
        <v/>
      </c>
      <c r="BA502" t="str">
        <f>""</f>
        <v/>
      </c>
      <c r="BB502" t="str">
        <f t="shared" ref="BB502:BB507" si="454">"ＴＰ３３１フタアリ"</f>
        <v>ＴＰ３３１フタアリ</v>
      </c>
      <c r="BC502" t="str">
        <f t="shared" si="419"/>
        <v xml:space="preserve"> 335.000</v>
      </c>
      <c r="BD502" t="str">
        <f t="shared" si="419"/>
        <v xml:space="preserve"> 335.000</v>
      </c>
      <c r="BE502" t="str">
        <f>" 124.000"</f>
        <v xml:space="preserve"> 124.000</v>
      </c>
      <c r="BF502" t="str">
        <f>"   0.014"</f>
        <v xml:space="preserve">   0.014</v>
      </c>
      <c r="BG502" t="str">
        <f>"   5.700"</f>
        <v xml:space="preserve">   5.700</v>
      </c>
      <c r="BH502" t="str">
        <f t="shared" si="448"/>
        <v>しない</v>
      </c>
      <c r="BI502" t="str">
        <f>""</f>
        <v/>
      </c>
      <c r="BJ502" t="str">
        <f t="shared" si="445"/>
        <v>MASTER01</v>
      </c>
      <c r="BK502" t="str">
        <f>"2023/01/17"</f>
        <v>2023/01/17</v>
      </c>
      <c r="BL502" t="str">
        <f t="shared" si="433"/>
        <v>NE00</v>
      </c>
      <c r="BM502" t="str">
        <f t="shared" si="434"/>
        <v>１工工務Ｇ</v>
      </c>
      <c r="BN502" t="str">
        <f t="shared" si="442"/>
        <v>46548</v>
      </c>
      <c r="BO502" t="str">
        <f t="shared" si="443"/>
        <v>長畑　玲奈</v>
      </c>
    </row>
    <row r="503" spans="1:67">
      <c r="A503" t="s">
        <v>585</v>
      </c>
      <c r="B503" t="str">
        <f>""</f>
        <v/>
      </c>
      <c r="C503" t="str">
        <f>""</f>
        <v/>
      </c>
      <c r="D503" t="s">
        <v>56</v>
      </c>
      <c r="E503" t="str">
        <f t="shared" si="423"/>
        <v>1Y</v>
      </c>
      <c r="F503" t="str">
        <f t="shared" si="424"/>
        <v>第１工場</v>
      </c>
      <c r="G503" t="str">
        <f t="shared" si="425"/>
        <v>手配</v>
      </c>
      <c r="H503" t="str">
        <f t="shared" si="426"/>
        <v>Ｐ</v>
      </c>
      <c r="I503" t="str">
        <f t="shared" si="450"/>
        <v>7002</v>
      </c>
      <c r="J503" t="str">
        <f t="shared" si="451"/>
        <v>矢崎総業（株）</v>
      </c>
      <c r="K503" t="str">
        <f t="shared" si="410"/>
        <v>01</v>
      </c>
      <c r="L503" t="str">
        <f>""</f>
        <v/>
      </c>
      <c r="M503" t="str">
        <f t="shared" si="449"/>
        <v>――</v>
      </c>
      <c r="N503" t="str">
        <f t="shared" si="449"/>
        <v>――</v>
      </c>
      <c r="O503" t="str">
        <f t="shared" si="427"/>
        <v>Ｍ</v>
      </c>
      <c r="P503" t="str">
        <f t="shared" si="428"/>
        <v>01</v>
      </c>
      <c r="Q503" t="str">
        <f t="shared" si="429"/>
        <v>第１</v>
      </c>
      <c r="R503" t="str">
        <f t="shared" si="430"/>
        <v>1Y</v>
      </c>
      <c r="S503" t="str">
        <f t="shared" si="431"/>
        <v>安城第１工場</v>
      </c>
      <c r="T503" t="str">
        <f t="shared" si="432"/>
        <v>直接</v>
      </c>
      <c r="U503" t="str">
        <f>""</f>
        <v/>
      </c>
      <c r="V503" t="str">
        <f>""</f>
        <v/>
      </c>
      <c r="W503" t="str">
        <f>""</f>
        <v/>
      </c>
      <c r="X503">
        <v>1</v>
      </c>
      <c r="Y503">
        <v>1</v>
      </c>
      <c r="Z503">
        <v>1.79</v>
      </c>
      <c r="AA503">
        <v>1.03</v>
      </c>
      <c r="AB503">
        <v>3</v>
      </c>
      <c r="AC503">
        <v>1.03</v>
      </c>
      <c r="AD503">
        <v>1.03</v>
      </c>
      <c r="AE503">
        <v>1.1000000000000001</v>
      </c>
      <c r="AF503">
        <v>0.5</v>
      </c>
      <c r="AG503" t="str">
        <f t="shared" si="452"/>
        <v>058</v>
      </c>
      <c r="AH503" t="str">
        <f t="shared" si="453"/>
        <v>矢崎総業（株）</v>
      </c>
      <c r="AI503" t="str">
        <f>"002"</f>
        <v>002</v>
      </c>
      <c r="AJ503" t="str">
        <f>"M-MG-23"</f>
        <v>M-MG-23</v>
      </c>
      <c r="AK503" t="str">
        <f>"20486"</f>
        <v>20486</v>
      </c>
      <c r="AL503" t="str">
        <f>"9208"</f>
        <v>9208</v>
      </c>
      <c r="AM503" t="str">
        <f>"ﾜｲﾔﾘﾝｸﾞﾊｰﾈｽｺﾈｸﾀ"</f>
        <v>ﾜｲﾔﾘﾝｸﾞﾊｰﾈｽｺﾈｸﾀ</v>
      </c>
      <c r="AN503" t="str">
        <f>"014"</f>
        <v>014</v>
      </c>
      <c r="AO503" t="str">
        <f>"TP-331 ﾊﾝﾖｳ"</f>
        <v>TP-331 ﾊﾝﾖｳ</v>
      </c>
      <c r="AP503">
        <v>32</v>
      </c>
      <c r="AQ503" t="str">
        <f>""</f>
        <v/>
      </c>
      <c r="AR503" t="str">
        <f>""</f>
        <v/>
      </c>
      <c r="AS503" t="str">
        <f>""</f>
        <v/>
      </c>
      <c r="AT503" t="str">
        <f t="shared" si="417"/>
        <v>00</v>
      </c>
      <c r="AU503">
        <v>0.5</v>
      </c>
      <c r="AV503" t="str">
        <f>""</f>
        <v/>
      </c>
      <c r="AW503" t="str">
        <f>"08"</f>
        <v>08</v>
      </c>
      <c r="AX503" t="str">
        <f>"専用"</f>
        <v>専用</v>
      </c>
      <c r="AY503" t="str">
        <f>"01"</f>
        <v>01</v>
      </c>
      <c r="AZ503" t="str">
        <f>"後補充"</f>
        <v>後補充</v>
      </c>
      <c r="BA503" t="str">
        <f>""</f>
        <v/>
      </c>
      <c r="BB503" t="str">
        <f t="shared" si="454"/>
        <v>ＴＰ３３１フタアリ</v>
      </c>
      <c r="BC503" t="str">
        <f t="shared" si="419"/>
        <v xml:space="preserve"> 335.000</v>
      </c>
      <c r="BD503" t="str">
        <f t="shared" si="419"/>
        <v xml:space="preserve"> 335.000</v>
      </c>
      <c r="BE503" t="str">
        <f>" 124.000"</f>
        <v xml:space="preserve"> 124.000</v>
      </c>
      <c r="BF503" t="str">
        <f>"   0.014"</f>
        <v xml:space="preserve">   0.014</v>
      </c>
      <c r="BG503" t="str">
        <f>"   3.180"</f>
        <v xml:space="preserve">   3.180</v>
      </c>
      <c r="BH503" t="str">
        <f t="shared" si="448"/>
        <v>しない</v>
      </c>
      <c r="BI503" t="str">
        <f>""</f>
        <v/>
      </c>
      <c r="BJ503" t="str">
        <f t="shared" si="445"/>
        <v>MASTER01</v>
      </c>
      <c r="BK503" t="str">
        <f>"2022/08/22"</f>
        <v>2022/08/22</v>
      </c>
      <c r="BL503" t="str">
        <f t="shared" si="433"/>
        <v>NE00</v>
      </c>
      <c r="BM503" t="str">
        <f t="shared" si="434"/>
        <v>１工工務Ｇ</v>
      </c>
      <c r="BN503" t="str">
        <f t="shared" si="442"/>
        <v>46548</v>
      </c>
      <c r="BO503" t="str">
        <f t="shared" si="443"/>
        <v>長畑　玲奈</v>
      </c>
    </row>
    <row r="504" spans="1:67">
      <c r="A504" t="s">
        <v>586</v>
      </c>
      <c r="B504" t="str">
        <f>""</f>
        <v/>
      </c>
      <c r="C504" t="str">
        <f>""</f>
        <v/>
      </c>
      <c r="D504" t="s">
        <v>56</v>
      </c>
      <c r="E504" t="str">
        <f t="shared" si="423"/>
        <v>1Y</v>
      </c>
      <c r="F504" t="str">
        <f t="shared" si="424"/>
        <v>第１工場</v>
      </c>
      <c r="G504" t="str">
        <f t="shared" si="425"/>
        <v>手配</v>
      </c>
      <c r="H504" t="str">
        <f t="shared" si="426"/>
        <v>Ｐ</v>
      </c>
      <c r="I504" t="str">
        <f t="shared" si="450"/>
        <v>7002</v>
      </c>
      <c r="J504" t="str">
        <f t="shared" si="451"/>
        <v>矢崎総業（株）</v>
      </c>
      <c r="K504" t="str">
        <f t="shared" si="410"/>
        <v>01</v>
      </c>
      <c r="L504" t="str">
        <f>""</f>
        <v/>
      </c>
      <c r="M504" t="str">
        <f t="shared" si="449"/>
        <v>――</v>
      </c>
      <c r="N504" t="str">
        <f t="shared" si="449"/>
        <v>――</v>
      </c>
      <c r="O504" t="str">
        <f t="shared" si="427"/>
        <v>Ｍ</v>
      </c>
      <c r="P504" t="str">
        <f t="shared" si="428"/>
        <v>01</v>
      </c>
      <c r="Q504" t="str">
        <f t="shared" si="429"/>
        <v>第１</v>
      </c>
      <c r="R504" t="str">
        <f t="shared" si="430"/>
        <v>1Y</v>
      </c>
      <c r="S504" t="str">
        <f t="shared" si="431"/>
        <v>安城第１工場</v>
      </c>
      <c r="T504" t="str">
        <f t="shared" si="432"/>
        <v>直接</v>
      </c>
      <c r="U504" t="str">
        <f>""</f>
        <v/>
      </c>
      <c r="V504" t="str">
        <f>""</f>
        <v/>
      </c>
      <c r="W504" t="str">
        <f>""</f>
        <v/>
      </c>
      <c r="X504">
        <v>1</v>
      </c>
      <c r="Y504">
        <v>1</v>
      </c>
      <c r="Z504">
        <v>1.79</v>
      </c>
      <c r="AA504">
        <v>1.03</v>
      </c>
      <c r="AB504">
        <v>3</v>
      </c>
      <c r="AC504">
        <v>1.03</v>
      </c>
      <c r="AD504">
        <v>1.03</v>
      </c>
      <c r="AE504">
        <v>1.1000000000000001</v>
      </c>
      <c r="AF504">
        <v>0.5</v>
      </c>
      <c r="AG504" t="str">
        <f t="shared" si="452"/>
        <v>058</v>
      </c>
      <c r="AH504" t="str">
        <f t="shared" si="453"/>
        <v>矢崎総業（株）</v>
      </c>
      <c r="AI504" t="str">
        <f>"003"</f>
        <v>003</v>
      </c>
      <c r="AJ504" t="str">
        <f>"M-MG-16"</f>
        <v>M-MG-16</v>
      </c>
      <c r="AK504" t="str">
        <f>"20490"</f>
        <v>20490</v>
      </c>
      <c r="AL504" t="str">
        <f>"9208"</f>
        <v>9208</v>
      </c>
      <c r="AM504" t="str">
        <f>"ﾜｲﾔﾘﾝｸﾞﾊｰﾈｽｺﾈｸﾀ"</f>
        <v>ﾜｲﾔﾘﾝｸﾞﾊｰﾈｽｺﾈｸﾀ</v>
      </c>
      <c r="AN504" t="str">
        <f>"015"</f>
        <v>015</v>
      </c>
      <c r="AO504" t="str">
        <f>"TP-331 ｾﾝﾖｳ"</f>
        <v>TP-331 ｾﾝﾖｳ</v>
      </c>
      <c r="AP504">
        <v>40</v>
      </c>
      <c r="AQ504" t="str">
        <f>""</f>
        <v/>
      </c>
      <c r="AR504" t="str">
        <f>""</f>
        <v/>
      </c>
      <c r="AS504" t="str">
        <f>""</f>
        <v/>
      </c>
      <c r="AT504" t="str">
        <f t="shared" si="417"/>
        <v>00</v>
      </c>
      <c r="AU504">
        <v>0.5</v>
      </c>
      <c r="AV504" t="str">
        <f>""</f>
        <v/>
      </c>
      <c r="AW504" t="str">
        <f>"08"</f>
        <v>08</v>
      </c>
      <c r="AX504" t="str">
        <f>"専用"</f>
        <v>専用</v>
      </c>
      <c r="AY504" t="str">
        <f>"01"</f>
        <v>01</v>
      </c>
      <c r="AZ504" t="str">
        <f>"後補充"</f>
        <v>後補充</v>
      </c>
      <c r="BA504" t="str">
        <f>""</f>
        <v/>
      </c>
      <c r="BB504" t="str">
        <f t="shared" si="454"/>
        <v>ＴＰ３３１フタアリ</v>
      </c>
      <c r="BC504" t="str">
        <f t="shared" si="419"/>
        <v xml:space="preserve"> 335.000</v>
      </c>
      <c r="BD504" t="str">
        <f t="shared" si="419"/>
        <v xml:space="preserve"> 335.000</v>
      </c>
      <c r="BE504" t="str">
        <f>" 124.000"</f>
        <v xml:space="preserve"> 124.000</v>
      </c>
      <c r="BF504" t="str">
        <f>"   0.014"</f>
        <v xml:space="preserve">   0.014</v>
      </c>
      <c r="BG504" t="str">
        <f>"   5.700"</f>
        <v xml:space="preserve">   5.700</v>
      </c>
      <c r="BH504" t="str">
        <f t="shared" si="448"/>
        <v>しない</v>
      </c>
      <c r="BI504" t="str">
        <f>""</f>
        <v/>
      </c>
      <c r="BJ504" t="str">
        <f t="shared" si="445"/>
        <v>MASTER01</v>
      </c>
      <c r="BK504" t="str">
        <f>"2022/08/22"</f>
        <v>2022/08/22</v>
      </c>
      <c r="BL504" t="str">
        <f t="shared" si="433"/>
        <v>NE00</v>
      </c>
      <c r="BM504" t="str">
        <f t="shared" si="434"/>
        <v>１工工務Ｇ</v>
      </c>
      <c r="BN504" t="str">
        <f t="shared" si="442"/>
        <v>46548</v>
      </c>
      <c r="BO504" t="str">
        <f t="shared" si="443"/>
        <v>長畑　玲奈</v>
      </c>
    </row>
    <row r="505" spans="1:67">
      <c r="A505" t="s">
        <v>587</v>
      </c>
      <c r="B505" t="str">
        <f>""</f>
        <v/>
      </c>
      <c r="C505" t="str">
        <f>""</f>
        <v/>
      </c>
      <c r="D505" t="s">
        <v>59</v>
      </c>
      <c r="E505" t="str">
        <f t="shared" si="423"/>
        <v>1Y</v>
      </c>
      <c r="F505" t="str">
        <f t="shared" si="424"/>
        <v>第１工場</v>
      </c>
      <c r="G505" t="str">
        <f t="shared" si="425"/>
        <v>手配</v>
      </c>
      <c r="H505" t="str">
        <f t="shared" si="426"/>
        <v>Ｐ</v>
      </c>
      <c r="I505" t="str">
        <f t="shared" si="450"/>
        <v>7002</v>
      </c>
      <c r="J505" t="str">
        <f t="shared" si="451"/>
        <v>矢崎総業（株）</v>
      </c>
      <c r="K505" t="str">
        <f t="shared" si="410"/>
        <v>01</v>
      </c>
      <c r="L505" t="str">
        <f>""</f>
        <v/>
      </c>
      <c r="M505" t="str">
        <f t="shared" si="449"/>
        <v>――</v>
      </c>
      <c r="N505" t="str">
        <f t="shared" si="449"/>
        <v>――</v>
      </c>
      <c r="O505" t="str">
        <f t="shared" si="427"/>
        <v>Ｍ</v>
      </c>
      <c r="P505" t="str">
        <f t="shared" si="428"/>
        <v>01</v>
      </c>
      <c r="Q505" t="str">
        <f t="shared" si="429"/>
        <v>第１</v>
      </c>
      <c r="R505" t="str">
        <f t="shared" si="430"/>
        <v>1Y</v>
      </c>
      <c r="S505" t="str">
        <f t="shared" si="431"/>
        <v>安城第１工場</v>
      </c>
      <c r="T505" t="str">
        <f t="shared" si="432"/>
        <v>直接</v>
      </c>
      <c r="U505" t="str">
        <f>""</f>
        <v/>
      </c>
      <c r="V505" t="str">
        <f>""</f>
        <v/>
      </c>
      <c r="W505" t="str">
        <f>""</f>
        <v/>
      </c>
      <c r="X505">
        <v>1</v>
      </c>
      <c r="Y505">
        <v>1</v>
      </c>
      <c r="Z505">
        <v>1.79</v>
      </c>
      <c r="AA505">
        <v>1.03</v>
      </c>
      <c r="AB505">
        <v>3</v>
      </c>
      <c r="AC505">
        <v>1.03</v>
      </c>
      <c r="AD505">
        <v>1.03</v>
      </c>
      <c r="AE505">
        <v>1.1000000000000001</v>
      </c>
      <c r="AF505">
        <v>0.5</v>
      </c>
      <c r="AG505" t="str">
        <f t="shared" si="452"/>
        <v>058</v>
      </c>
      <c r="AH505" t="str">
        <f t="shared" si="453"/>
        <v>矢崎総業（株）</v>
      </c>
      <c r="AI505" t="str">
        <f>"008"</f>
        <v>008</v>
      </c>
      <c r="AJ505" t="str">
        <f>""</f>
        <v/>
      </c>
      <c r="AK505" t="str">
        <f>""</f>
        <v/>
      </c>
      <c r="AL505" t="str">
        <f>"0033"</f>
        <v>0033</v>
      </c>
      <c r="AM505" t="s">
        <v>86</v>
      </c>
      <c r="AN505" t="str">
        <f>"014"</f>
        <v>014</v>
      </c>
      <c r="AO505" t="str">
        <f>"TP-331 ﾊﾝﾖｳ"</f>
        <v>TP-331 ﾊﾝﾖｳ</v>
      </c>
      <c r="AP505">
        <v>6</v>
      </c>
      <c r="AQ505" t="str">
        <f>""</f>
        <v/>
      </c>
      <c r="AR505" t="str">
        <f>""</f>
        <v/>
      </c>
      <c r="AS505" t="str">
        <f>""</f>
        <v/>
      </c>
      <c r="AT505" t="str">
        <f t="shared" si="417"/>
        <v>00</v>
      </c>
      <c r="AU505">
        <v>0.5</v>
      </c>
      <c r="AV505" t="str">
        <f>""</f>
        <v/>
      </c>
      <c r="AW505" t="str">
        <f>""</f>
        <v/>
      </c>
      <c r="AX505" t="str">
        <f>""</f>
        <v/>
      </c>
      <c r="AY505" t="str">
        <f>""</f>
        <v/>
      </c>
      <c r="AZ505" t="str">
        <f>""</f>
        <v/>
      </c>
      <c r="BA505" t="str">
        <f>""</f>
        <v/>
      </c>
      <c r="BB505" t="str">
        <f t="shared" si="454"/>
        <v>ＴＰ３３１フタアリ</v>
      </c>
      <c r="BC505" t="str">
        <f t="shared" si="419"/>
        <v xml:space="preserve"> 335.000</v>
      </c>
      <c r="BD505" t="str">
        <f t="shared" si="419"/>
        <v xml:space="preserve"> 335.000</v>
      </c>
      <c r="BE505" t="str">
        <f>" 124.000"</f>
        <v xml:space="preserve"> 124.000</v>
      </c>
      <c r="BF505" t="str">
        <f>"   0.014"</f>
        <v xml:space="preserve">   0.014</v>
      </c>
      <c r="BG505" t="str">
        <f>"   2.288"</f>
        <v xml:space="preserve">   2.288</v>
      </c>
      <c r="BH505" t="str">
        <f t="shared" si="448"/>
        <v>しない</v>
      </c>
      <c r="BI505" t="str">
        <f>""</f>
        <v/>
      </c>
      <c r="BJ505" t="str">
        <f t="shared" si="445"/>
        <v>MASTER01</v>
      </c>
      <c r="BK505" t="str">
        <f>"2023/01/17"</f>
        <v>2023/01/17</v>
      </c>
      <c r="BL505" t="str">
        <f t="shared" si="433"/>
        <v>NE00</v>
      </c>
      <c r="BM505" t="str">
        <f t="shared" si="434"/>
        <v>１工工務Ｇ</v>
      </c>
      <c r="BN505" t="str">
        <f t="shared" si="442"/>
        <v>46548</v>
      </c>
      <c r="BO505" t="str">
        <f t="shared" si="443"/>
        <v>長畑　玲奈</v>
      </c>
    </row>
    <row r="506" spans="1:67">
      <c r="A506" t="s">
        <v>588</v>
      </c>
      <c r="B506" t="str">
        <f>""</f>
        <v/>
      </c>
      <c r="C506" t="str">
        <f>""</f>
        <v/>
      </c>
      <c r="D506" t="s">
        <v>702</v>
      </c>
      <c r="E506" t="str">
        <f t="shared" si="423"/>
        <v>1Y</v>
      </c>
      <c r="F506" t="str">
        <f t="shared" si="424"/>
        <v>第１工場</v>
      </c>
      <c r="G506" t="str">
        <f t="shared" si="425"/>
        <v>手配</v>
      </c>
      <c r="H506" t="str">
        <f t="shared" si="426"/>
        <v>Ｐ</v>
      </c>
      <c r="I506" t="str">
        <f t="shared" si="450"/>
        <v>7002</v>
      </c>
      <c r="J506" t="str">
        <f t="shared" si="451"/>
        <v>矢崎総業（株）</v>
      </c>
      <c r="K506" t="str">
        <f t="shared" si="410"/>
        <v>01</v>
      </c>
      <c r="L506" t="str">
        <f>""</f>
        <v/>
      </c>
      <c r="M506" t="str">
        <f t="shared" si="449"/>
        <v>――</v>
      </c>
      <c r="N506" t="str">
        <f t="shared" si="449"/>
        <v>――</v>
      </c>
      <c r="O506" t="str">
        <f t="shared" si="427"/>
        <v>Ｍ</v>
      </c>
      <c r="P506" t="str">
        <f t="shared" si="428"/>
        <v>01</v>
      </c>
      <c r="Q506" t="str">
        <f t="shared" si="429"/>
        <v>第１</v>
      </c>
      <c r="R506" t="str">
        <f t="shared" si="430"/>
        <v>1Y</v>
      </c>
      <c r="S506" t="str">
        <f t="shared" si="431"/>
        <v>安城第１工場</v>
      </c>
      <c r="T506" t="str">
        <f t="shared" si="432"/>
        <v>直接</v>
      </c>
      <c r="U506" t="str">
        <f>""</f>
        <v/>
      </c>
      <c r="V506" t="str">
        <f>""</f>
        <v/>
      </c>
      <c r="W506" t="str">
        <f>""</f>
        <v/>
      </c>
      <c r="X506">
        <v>1</v>
      </c>
      <c r="Y506">
        <v>1</v>
      </c>
      <c r="Z506">
        <v>1.79</v>
      </c>
      <c r="AA506">
        <v>1.03</v>
      </c>
      <c r="AB506">
        <v>3</v>
      </c>
      <c r="AC506">
        <v>1.03</v>
      </c>
      <c r="AD506">
        <v>1.03</v>
      </c>
      <c r="AE506">
        <v>1.1000000000000001</v>
      </c>
      <c r="AF506">
        <v>0.5</v>
      </c>
      <c r="AG506" t="str">
        <f t="shared" si="452"/>
        <v>058</v>
      </c>
      <c r="AH506" t="str">
        <f t="shared" si="453"/>
        <v>矢崎総業（株）</v>
      </c>
      <c r="AI506" t="str">
        <f>"005"</f>
        <v>005</v>
      </c>
      <c r="AJ506" t="str">
        <f>"M-MG-37"</f>
        <v>M-MG-37</v>
      </c>
      <c r="AK506" t="str">
        <f>"20488"</f>
        <v>20488</v>
      </c>
      <c r="AL506" t="str">
        <f>"0033"</f>
        <v>0033</v>
      </c>
      <c r="AM506" t="s">
        <v>60</v>
      </c>
      <c r="AN506" t="str">
        <f>"014"</f>
        <v>014</v>
      </c>
      <c r="AO506" t="str">
        <f>"TP-331 ﾊﾝﾖｳ"</f>
        <v>TP-331 ﾊﾝﾖｳ</v>
      </c>
      <c r="AP506">
        <v>8</v>
      </c>
      <c r="AQ506" t="str">
        <f>""</f>
        <v/>
      </c>
      <c r="AR506" t="str">
        <f>""</f>
        <v/>
      </c>
      <c r="AS506" t="str">
        <f>""</f>
        <v/>
      </c>
      <c r="AT506" t="str">
        <f t="shared" si="417"/>
        <v>00</v>
      </c>
      <c r="AU506">
        <v>0.5</v>
      </c>
      <c r="AV506" t="str">
        <f>""</f>
        <v/>
      </c>
      <c r="AW506" t="str">
        <f>"08"</f>
        <v>08</v>
      </c>
      <c r="AX506" t="str">
        <f>"専用"</f>
        <v>専用</v>
      </c>
      <c r="AY506" t="str">
        <f>"01"</f>
        <v>01</v>
      </c>
      <c r="AZ506" t="str">
        <f>"後補充"</f>
        <v>後補充</v>
      </c>
      <c r="BA506" t="str">
        <f>""</f>
        <v/>
      </c>
      <c r="BB506" t="str">
        <f t="shared" si="454"/>
        <v>ＴＰ３３１フタアリ</v>
      </c>
      <c r="BC506" t="str">
        <f t="shared" si="419"/>
        <v xml:space="preserve"> 335.000</v>
      </c>
      <c r="BD506" t="str">
        <f t="shared" si="419"/>
        <v xml:space="preserve"> 335.000</v>
      </c>
      <c r="BE506" t="str">
        <f>" 124.000"</f>
        <v xml:space="preserve"> 124.000</v>
      </c>
      <c r="BF506" t="str">
        <f>"   0.014"</f>
        <v xml:space="preserve">   0.014</v>
      </c>
      <c r="BG506" t="str">
        <f>"   4.710"</f>
        <v xml:space="preserve">   4.710</v>
      </c>
      <c r="BH506" t="str">
        <f t="shared" si="448"/>
        <v>しない</v>
      </c>
      <c r="BI506" t="str">
        <f>""</f>
        <v/>
      </c>
      <c r="BJ506" t="str">
        <f t="shared" si="445"/>
        <v>MASTER01</v>
      </c>
      <c r="BK506" t="str">
        <f>"2022/08/22"</f>
        <v>2022/08/22</v>
      </c>
      <c r="BL506" t="str">
        <f t="shared" si="433"/>
        <v>NE00</v>
      </c>
      <c r="BM506" t="str">
        <f t="shared" si="434"/>
        <v>１工工務Ｇ</v>
      </c>
      <c r="BN506" t="str">
        <f t="shared" si="442"/>
        <v>46548</v>
      </c>
      <c r="BO506" t="str">
        <f t="shared" si="443"/>
        <v>長畑　玲奈</v>
      </c>
    </row>
    <row r="507" spans="1:67">
      <c r="A507" t="s">
        <v>589</v>
      </c>
      <c r="B507" t="str">
        <f>""</f>
        <v/>
      </c>
      <c r="C507" t="str">
        <f>""</f>
        <v/>
      </c>
      <c r="D507" t="s">
        <v>57</v>
      </c>
      <c r="E507" t="str">
        <f t="shared" si="423"/>
        <v>1Y</v>
      </c>
      <c r="F507" t="str">
        <f t="shared" si="424"/>
        <v>第１工場</v>
      </c>
      <c r="G507" t="str">
        <f t="shared" si="425"/>
        <v>手配</v>
      </c>
      <c r="H507" t="str">
        <f t="shared" si="426"/>
        <v>Ｐ</v>
      </c>
      <c r="I507" t="str">
        <f t="shared" si="450"/>
        <v>7002</v>
      </c>
      <c r="J507" t="str">
        <f t="shared" si="451"/>
        <v>矢崎総業（株）</v>
      </c>
      <c r="K507" t="str">
        <f t="shared" si="410"/>
        <v>01</v>
      </c>
      <c r="L507" t="str">
        <f>""</f>
        <v/>
      </c>
      <c r="M507" t="str">
        <f t="shared" si="449"/>
        <v>――</v>
      </c>
      <c r="N507" t="str">
        <f t="shared" si="449"/>
        <v>――</v>
      </c>
      <c r="O507" t="str">
        <f t="shared" si="427"/>
        <v>Ｍ</v>
      </c>
      <c r="P507" t="str">
        <f t="shared" si="428"/>
        <v>01</v>
      </c>
      <c r="Q507" t="str">
        <f t="shared" si="429"/>
        <v>第１</v>
      </c>
      <c r="R507" t="str">
        <f t="shared" si="430"/>
        <v>1Y</v>
      </c>
      <c r="S507" t="str">
        <f t="shared" si="431"/>
        <v>安城第１工場</v>
      </c>
      <c r="T507" t="str">
        <f t="shared" si="432"/>
        <v>直接</v>
      </c>
      <c r="U507" t="str">
        <f>""</f>
        <v/>
      </c>
      <c r="V507" t="str">
        <f>""</f>
        <v/>
      </c>
      <c r="W507" t="str">
        <f>""</f>
        <v/>
      </c>
      <c r="X507">
        <v>1</v>
      </c>
      <c r="Y507">
        <v>1</v>
      </c>
      <c r="Z507">
        <v>1.79</v>
      </c>
      <c r="AA507">
        <v>1.03</v>
      </c>
      <c r="AB507">
        <v>3</v>
      </c>
      <c r="AC507">
        <v>1.03</v>
      </c>
      <c r="AD507">
        <v>1.03</v>
      </c>
      <c r="AE507">
        <v>1.1000000000000001</v>
      </c>
      <c r="AF507">
        <v>0.5</v>
      </c>
      <c r="AG507" t="str">
        <f t="shared" si="452"/>
        <v>058</v>
      </c>
      <c r="AH507" t="str">
        <f t="shared" si="453"/>
        <v>矢崎総業（株）</v>
      </c>
      <c r="AI507" t="str">
        <f>"006"</f>
        <v>006</v>
      </c>
      <c r="AJ507" t="str">
        <f>""</f>
        <v/>
      </c>
      <c r="AK507" t="str">
        <f>""</f>
        <v/>
      </c>
      <c r="AL507" t="str">
        <f>"6404"</f>
        <v>6404</v>
      </c>
      <c r="AM507" t="s">
        <v>87</v>
      </c>
      <c r="AN507" t="str">
        <f>"022"</f>
        <v>022</v>
      </c>
      <c r="AO507" t="str">
        <f>"TP-362 ﾊﾝﾖｳ"</f>
        <v>TP-362 ﾊﾝﾖｳ</v>
      </c>
      <c r="AP507">
        <v>50</v>
      </c>
      <c r="AQ507" t="str">
        <f>""</f>
        <v/>
      </c>
      <c r="AR507" t="str">
        <f>""</f>
        <v/>
      </c>
      <c r="AS507" t="str">
        <f>""</f>
        <v/>
      </c>
      <c r="AT507" t="str">
        <f t="shared" si="417"/>
        <v>00</v>
      </c>
      <c r="AU507">
        <v>0.5</v>
      </c>
      <c r="AV507" t="str">
        <f>""</f>
        <v/>
      </c>
      <c r="AW507" t="str">
        <f>""</f>
        <v/>
      </c>
      <c r="AX507" t="str">
        <f>""</f>
        <v/>
      </c>
      <c r="AY507" t="str">
        <f>""</f>
        <v/>
      </c>
      <c r="AZ507" t="str">
        <f>""</f>
        <v/>
      </c>
      <c r="BA507" t="str">
        <f>""</f>
        <v/>
      </c>
      <c r="BB507" t="str">
        <f t="shared" si="454"/>
        <v>ＴＰ３３１フタアリ</v>
      </c>
      <c r="BC507" t="str">
        <f>" 625.000"</f>
        <v xml:space="preserve"> 625.000</v>
      </c>
      <c r="BD507" t="str">
        <f>" 290.000"</f>
        <v xml:space="preserve"> 290.000</v>
      </c>
      <c r="BE507" t="str">
        <f>" 172.000"</f>
        <v xml:space="preserve"> 172.000</v>
      </c>
      <c r="BF507" t="str">
        <f>"   0.031"</f>
        <v xml:space="preserve">   0.031</v>
      </c>
      <c r="BG507" t="str">
        <f>"   6.250"</f>
        <v xml:space="preserve">   6.250</v>
      </c>
      <c r="BH507" t="str">
        <f t="shared" si="448"/>
        <v>しない</v>
      </c>
      <c r="BI507" t="str">
        <f>""</f>
        <v/>
      </c>
      <c r="BJ507" t="str">
        <f t="shared" si="445"/>
        <v>MASTER01</v>
      </c>
      <c r="BK507" t="str">
        <f>"2023/01/17"</f>
        <v>2023/01/17</v>
      </c>
      <c r="BL507" t="str">
        <f t="shared" si="433"/>
        <v>NE00</v>
      </c>
      <c r="BM507" t="str">
        <f t="shared" si="434"/>
        <v>１工工務Ｇ</v>
      </c>
      <c r="BN507" t="str">
        <f t="shared" si="442"/>
        <v>46548</v>
      </c>
      <c r="BO507" t="str">
        <f t="shared" si="443"/>
        <v>長畑　玲奈</v>
      </c>
    </row>
    <row r="508" spans="1:67">
      <c r="A508" t="s">
        <v>590</v>
      </c>
      <c r="B508" t="str">
        <f>""</f>
        <v/>
      </c>
      <c r="C508" t="str">
        <f>""</f>
        <v/>
      </c>
      <c r="D508" t="s">
        <v>88</v>
      </c>
      <c r="E508" t="str">
        <f t="shared" si="423"/>
        <v>1Y</v>
      </c>
      <c r="F508" t="str">
        <f t="shared" si="424"/>
        <v>第１工場</v>
      </c>
      <c r="G508" t="str">
        <f t="shared" si="425"/>
        <v>手配</v>
      </c>
      <c r="H508" t="str">
        <f t="shared" si="426"/>
        <v>Ｐ</v>
      </c>
      <c r="I508" t="str">
        <f>"7042"</f>
        <v>7042</v>
      </c>
      <c r="J508" t="str">
        <f>"（株）メタルテック"</f>
        <v>（株）メタルテック</v>
      </c>
      <c r="K508" t="str">
        <f t="shared" ref="K508:K536" si="455">"01"</f>
        <v>01</v>
      </c>
      <c r="L508" t="str">
        <f>""</f>
        <v/>
      </c>
      <c r="M508" t="str">
        <f t="shared" si="449"/>
        <v>――</v>
      </c>
      <c r="N508" t="str">
        <f t="shared" si="449"/>
        <v>――</v>
      </c>
      <c r="O508" t="str">
        <f t="shared" si="427"/>
        <v>Ｍ</v>
      </c>
      <c r="P508" t="str">
        <f t="shared" si="428"/>
        <v>01</v>
      </c>
      <c r="Q508" t="str">
        <f t="shared" si="429"/>
        <v>第１</v>
      </c>
      <c r="R508" t="str">
        <f t="shared" si="430"/>
        <v>1Y</v>
      </c>
      <c r="S508" t="str">
        <f t="shared" si="431"/>
        <v>安城第１工場</v>
      </c>
      <c r="T508" t="str">
        <f t="shared" si="432"/>
        <v>直接</v>
      </c>
      <c r="U508" t="str">
        <f>""</f>
        <v/>
      </c>
      <c r="V508" t="str">
        <f>""</f>
        <v/>
      </c>
      <c r="W508" t="str">
        <f>""</f>
        <v/>
      </c>
      <c r="X508">
        <v>1</v>
      </c>
      <c r="Y508">
        <v>1</v>
      </c>
      <c r="Z508">
        <v>1.9</v>
      </c>
      <c r="AA508">
        <v>1.04</v>
      </c>
      <c r="AB508">
        <v>3</v>
      </c>
      <c r="AC508">
        <v>1.04</v>
      </c>
      <c r="AD508">
        <v>1.04</v>
      </c>
      <c r="AE508">
        <v>1.1000000000000001</v>
      </c>
      <c r="AF508">
        <v>0.5</v>
      </c>
      <c r="AG508" t="str">
        <f>"060"</f>
        <v>060</v>
      </c>
      <c r="AH508" t="str">
        <f>"（株）メタルテック"</f>
        <v>（株）メタルテック</v>
      </c>
      <c r="AI508" t="str">
        <f>"001"</f>
        <v>001</v>
      </c>
      <c r="AJ508" t="str">
        <f>"S-MG-15"</f>
        <v>S-MG-15</v>
      </c>
      <c r="AK508" t="str">
        <f>"30354"</f>
        <v>30354</v>
      </c>
      <c r="AL508" t="str">
        <f>"9168"</f>
        <v>9168</v>
      </c>
      <c r="AM508" t="str">
        <f>"ﾁｭｰﾌﾞT/Aﾙｰﾌﾞｱﾌﾟﾗｲ"</f>
        <v>ﾁｭｰﾌﾞT/Aﾙｰﾌﾞｱﾌﾟﾗｲ</v>
      </c>
      <c r="AN508" t="str">
        <f t="shared" ref="AN508:AN513" si="456">"016"</f>
        <v>016</v>
      </c>
      <c r="AO508" t="str">
        <f t="shared" ref="AO508:AO513" si="457">"TP-332 ﾊﾝﾖｳ"</f>
        <v>TP-332 ﾊﾝﾖｳ</v>
      </c>
      <c r="AP508">
        <v>80</v>
      </c>
      <c r="AQ508" t="str">
        <f>""</f>
        <v/>
      </c>
      <c r="AR508" t="str">
        <f>""</f>
        <v/>
      </c>
      <c r="AS508" t="str">
        <f>""</f>
        <v/>
      </c>
      <c r="AT508" t="str">
        <f t="shared" si="417"/>
        <v>00</v>
      </c>
      <c r="AU508">
        <v>0.5</v>
      </c>
      <c r="AV508" t="str">
        <f>""</f>
        <v/>
      </c>
      <c r="AW508" t="str">
        <f>"08"</f>
        <v>08</v>
      </c>
      <c r="AX508" t="str">
        <f>"専用"</f>
        <v>専用</v>
      </c>
      <c r="AY508" t="str">
        <f>"01"</f>
        <v>01</v>
      </c>
      <c r="AZ508" t="str">
        <f>"後補充"</f>
        <v>後補充</v>
      </c>
      <c r="BA508" t="str">
        <f>""</f>
        <v/>
      </c>
      <c r="BB508" t="str">
        <f>"ＴＰ３３２フタナシ"</f>
        <v>ＴＰ３３２フタナシ</v>
      </c>
      <c r="BC508" t="str">
        <f t="shared" ref="BC508:BD513" si="458">" 335.000"</f>
        <v xml:space="preserve"> 335.000</v>
      </c>
      <c r="BD508" t="str">
        <f t="shared" si="458"/>
        <v xml:space="preserve"> 335.000</v>
      </c>
      <c r="BE508" t="str">
        <f t="shared" ref="BE508:BE513" si="459">" 195.000"</f>
        <v xml:space="preserve"> 195.000</v>
      </c>
      <c r="BF508" t="str">
        <f t="shared" ref="BF508:BF513" si="460">"   0.022"</f>
        <v xml:space="preserve">   0.022</v>
      </c>
      <c r="BG508" t="str">
        <f>"   2.900"</f>
        <v xml:space="preserve">   2.900</v>
      </c>
      <c r="BH508" t="str">
        <f t="shared" si="448"/>
        <v>しない</v>
      </c>
      <c r="BI508" t="str">
        <f>""</f>
        <v/>
      </c>
      <c r="BJ508" t="str">
        <f t="shared" si="445"/>
        <v>MASTER01</v>
      </c>
      <c r="BK508" t="str">
        <f>"2022/04/19"</f>
        <v>2022/04/19</v>
      </c>
      <c r="BL508" t="str">
        <f t="shared" si="433"/>
        <v>NE00</v>
      </c>
      <c r="BM508" t="str">
        <f t="shared" si="434"/>
        <v>１工工務Ｇ</v>
      </c>
      <c r="BN508" t="str">
        <f t="shared" si="442"/>
        <v>46548</v>
      </c>
      <c r="BO508" t="str">
        <f t="shared" si="443"/>
        <v>長畑　玲奈</v>
      </c>
    </row>
    <row r="509" spans="1:67">
      <c r="A509" t="s">
        <v>591</v>
      </c>
      <c r="B509" t="str">
        <f>""</f>
        <v/>
      </c>
      <c r="C509" t="str">
        <f>""</f>
        <v/>
      </c>
      <c r="D509" t="s">
        <v>88</v>
      </c>
      <c r="E509" t="str">
        <f t="shared" si="423"/>
        <v>1Y</v>
      </c>
      <c r="F509" t="str">
        <f t="shared" si="424"/>
        <v>第１工場</v>
      </c>
      <c r="G509" t="str">
        <f t="shared" si="425"/>
        <v>手配</v>
      </c>
      <c r="H509" t="str">
        <f t="shared" si="426"/>
        <v>Ｐ</v>
      </c>
      <c r="I509" t="str">
        <f>"7042"</f>
        <v>7042</v>
      </c>
      <c r="J509" t="str">
        <f>"（株）メタルテック"</f>
        <v>（株）メタルテック</v>
      </c>
      <c r="K509" t="str">
        <f t="shared" si="455"/>
        <v>01</v>
      </c>
      <c r="L509" t="str">
        <f>""</f>
        <v/>
      </c>
      <c r="M509" t="str">
        <f t="shared" si="449"/>
        <v>――</v>
      </c>
      <c r="N509" t="str">
        <f t="shared" si="449"/>
        <v>――</v>
      </c>
      <c r="O509" t="str">
        <f t="shared" si="427"/>
        <v>Ｍ</v>
      </c>
      <c r="P509" t="str">
        <f t="shared" si="428"/>
        <v>01</v>
      </c>
      <c r="Q509" t="str">
        <f t="shared" si="429"/>
        <v>第１</v>
      </c>
      <c r="R509" t="str">
        <f t="shared" si="430"/>
        <v>1Y</v>
      </c>
      <c r="S509" t="str">
        <f t="shared" si="431"/>
        <v>安城第１工場</v>
      </c>
      <c r="T509" t="str">
        <f t="shared" si="432"/>
        <v>直接</v>
      </c>
      <c r="U509" t="str">
        <f>""</f>
        <v/>
      </c>
      <c r="V509" t="str">
        <f>""</f>
        <v/>
      </c>
      <c r="W509" t="str">
        <f>""</f>
        <v/>
      </c>
      <c r="X509">
        <v>1</v>
      </c>
      <c r="Y509">
        <v>1</v>
      </c>
      <c r="Z509">
        <v>1.9</v>
      </c>
      <c r="AA509">
        <v>1.04</v>
      </c>
      <c r="AB509">
        <v>3</v>
      </c>
      <c r="AC509">
        <v>1.04</v>
      </c>
      <c r="AD509">
        <v>1.04</v>
      </c>
      <c r="AE509">
        <v>1.1000000000000001</v>
      </c>
      <c r="AF509">
        <v>0.5</v>
      </c>
      <c r="AG509" t="str">
        <f>"060"</f>
        <v>060</v>
      </c>
      <c r="AH509" t="str">
        <f>"（株）メタルテック"</f>
        <v>（株）メタルテック</v>
      </c>
      <c r="AI509" t="str">
        <f>"002"</f>
        <v>002</v>
      </c>
      <c r="AJ509" t="str">
        <f>"M-MG-25"</f>
        <v>M-MG-25</v>
      </c>
      <c r="AK509" t="str">
        <f>"30355"</f>
        <v>30355</v>
      </c>
      <c r="AL509" t="str">
        <f>"9168"</f>
        <v>9168</v>
      </c>
      <c r="AM509" t="str">
        <f>"ﾁｭｰﾌﾞT/Aﾙｰﾌﾞｱﾌﾟﾗｲ"</f>
        <v>ﾁｭｰﾌﾞT/Aﾙｰﾌﾞｱﾌﾟﾗｲ</v>
      </c>
      <c r="AN509" t="str">
        <f t="shared" si="456"/>
        <v>016</v>
      </c>
      <c r="AO509" t="str">
        <f t="shared" si="457"/>
        <v>TP-332 ﾊﾝﾖｳ</v>
      </c>
      <c r="AP509">
        <v>70</v>
      </c>
      <c r="AQ509" t="str">
        <f>""</f>
        <v/>
      </c>
      <c r="AR509" t="str">
        <f>""</f>
        <v/>
      </c>
      <c r="AS509" t="str">
        <f>""</f>
        <v/>
      </c>
      <c r="AT509" t="str">
        <f t="shared" si="417"/>
        <v>00</v>
      </c>
      <c r="AU509">
        <v>0.5</v>
      </c>
      <c r="AV509" t="str">
        <f>""</f>
        <v/>
      </c>
      <c r="AW509" t="str">
        <f>"08"</f>
        <v>08</v>
      </c>
      <c r="AX509" t="str">
        <f>"専用"</f>
        <v>専用</v>
      </c>
      <c r="AY509" t="str">
        <f>"01"</f>
        <v>01</v>
      </c>
      <c r="AZ509" t="str">
        <f>"後補充"</f>
        <v>後補充</v>
      </c>
      <c r="BA509" t="str">
        <f>""</f>
        <v/>
      </c>
      <c r="BB509" t="str">
        <f>"ＴＰ３３２フタナシ"</f>
        <v>ＴＰ３３２フタナシ</v>
      </c>
      <c r="BC509" t="str">
        <f t="shared" si="458"/>
        <v xml:space="preserve"> 335.000</v>
      </c>
      <c r="BD509" t="str">
        <f t="shared" si="458"/>
        <v xml:space="preserve"> 335.000</v>
      </c>
      <c r="BE509" t="str">
        <f t="shared" si="459"/>
        <v xml:space="preserve"> 195.000</v>
      </c>
      <c r="BF509" t="str">
        <f t="shared" si="460"/>
        <v xml:space="preserve">   0.022</v>
      </c>
      <c r="BG509" t="str">
        <f>"   2.740"</f>
        <v xml:space="preserve">   2.740</v>
      </c>
      <c r="BH509" t="str">
        <f t="shared" si="448"/>
        <v>しない</v>
      </c>
      <c r="BI509" t="str">
        <f>""</f>
        <v/>
      </c>
      <c r="BJ509" t="str">
        <f t="shared" si="445"/>
        <v>MASTER01</v>
      </c>
      <c r="BK509" t="str">
        <f>"2022/04/19"</f>
        <v>2022/04/19</v>
      </c>
      <c r="BL509" t="str">
        <f t="shared" si="433"/>
        <v>NE00</v>
      </c>
      <c r="BM509" t="str">
        <f t="shared" si="434"/>
        <v>１工工務Ｇ</v>
      </c>
      <c r="BN509" t="str">
        <f t="shared" si="442"/>
        <v>46548</v>
      </c>
      <c r="BO509" t="str">
        <f t="shared" si="443"/>
        <v>長畑　玲奈</v>
      </c>
    </row>
    <row r="510" spans="1:67">
      <c r="A510" t="s">
        <v>704</v>
      </c>
      <c r="B510" t="str">
        <f>""</f>
        <v/>
      </c>
      <c r="C510" t="str">
        <f>""</f>
        <v/>
      </c>
      <c r="D510" t="s">
        <v>705</v>
      </c>
      <c r="E510" t="str">
        <f t="shared" si="423"/>
        <v>1Y</v>
      </c>
      <c r="F510" t="str">
        <f t="shared" si="424"/>
        <v>第１工場</v>
      </c>
      <c r="G510" t="str">
        <f t="shared" si="425"/>
        <v>手配</v>
      </c>
      <c r="H510" t="str">
        <f t="shared" si="426"/>
        <v>Ｐ</v>
      </c>
      <c r="I510" t="str">
        <f>"7042"</f>
        <v>7042</v>
      </c>
      <c r="J510" t="str">
        <f>"（株）メタルテック"</f>
        <v>（株）メタルテック</v>
      </c>
      <c r="K510" t="str">
        <f t="shared" si="455"/>
        <v>01</v>
      </c>
      <c r="L510" t="str">
        <f>""</f>
        <v/>
      </c>
      <c r="M510" t="str">
        <f t="shared" si="449"/>
        <v>――</v>
      </c>
      <c r="N510" t="str">
        <f t="shared" si="449"/>
        <v>――</v>
      </c>
      <c r="O510" t="str">
        <f t="shared" si="427"/>
        <v>Ｍ</v>
      </c>
      <c r="P510" t="str">
        <f t="shared" si="428"/>
        <v>01</v>
      </c>
      <c r="Q510" t="str">
        <f t="shared" si="429"/>
        <v>第１</v>
      </c>
      <c r="R510" t="str">
        <f t="shared" si="430"/>
        <v>1Y</v>
      </c>
      <c r="S510" t="str">
        <f t="shared" si="431"/>
        <v>安城第１工場</v>
      </c>
      <c r="T510" t="str">
        <f t="shared" si="432"/>
        <v>直接</v>
      </c>
      <c r="U510" t="str">
        <f>""</f>
        <v/>
      </c>
      <c r="V510" t="str">
        <f>""</f>
        <v/>
      </c>
      <c r="W510" t="str">
        <f>""</f>
        <v/>
      </c>
      <c r="X510">
        <v>1</v>
      </c>
      <c r="Y510">
        <v>1</v>
      </c>
      <c r="Z510">
        <v>1.9</v>
      </c>
      <c r="AA510">
        <v>1.04</v>
      </c>
      <c r="AB510">
        <v>3</v>
      </c>
      <c r="AC510">
        <v>1.04</v>
      </c>
      <c r="AD510">
        <v>1.04</v>
      </c>
      <c r="AE510">
        <v>1.1000000000000001</v>
      </c>
      <c r="AF510">
        <v>0.5</v>
      </c>
      <c r="AG510" t="str">
        <f>"060"</f>
        <v>060</v>
      </c>
      <c r="AH510" t="str">
        <f>"（株）メタルテック"</f>
        <v>（株）メタルテック</v>
      </c>
      <c r="AI510" t="str">
        <f>"004"</f>
        <v>004</v>
      </c>
      <c r="AJ510" t="str">
        <f>"M-MG-44"</f>
        <v>M-MG-44</v>
      </c>
      <c r="AK510" t="str">
        <f>"30357"</f>
        <v>30357</v>
      </c>
      <c r="AL510" t="str">
        <f>"9168"</f>
        <v>9168</v>
      </c>
      <c r="AM510" t="str">
        <f>"ﾁｭｰﾌﾞT/Aﾙｰﾌﾞｱﾌﾟﾗｲ"</f>
        <v>ﾁｭｰﾌﾞT/Aﾙｰﾌﾞｱﾌﾟﾗｲ</v>
      </c>
      <c r="AN510" t="str">
        <f t="shared" si="456"/>
        <v>016</v>
      </c>
      <c r="AO510" t="str">
        <f t="shared" si="457"/>
        <v>TP-332 ﾊﾝﾖｳ</v>
      </c>
      <c r="AP510">
        <v>40</v>
      </c>
      <c r="AQ510" t="str">
        <f>""</f>
        <v/>
      </c>
      <c r="AR510" t="str">
        <f>""</f>
        <v/>
      </c>
      <c r="AS510" t="str">
        <f>""</f>
        <v/>
      </c>
      <c r="AT510" t="str">
        <f t="shared" si="417"/>
        <v>00</v>
      </c>
      <c r="AU510">
        <v>0.5</v>
      </c>
      <c r="AV510" t="str">
        <f>""</f>
        <v/>
      </c>
      <c r="AW510" t="str">
        <f>"08"</f>
        <v>08</v>
      </c>
      <c r="AX510" t="str">
        <f>"専用"</f>
        <v>専用</v>
      </c>
      <c r="AY510" t="str">
        <f>"01"</f>
        <v>01</v>
      </c>
      <c r="AZ510" t="str">
        <f>"後補充"</f>
        <v>後補充</v>
      </c>
      <c r="BA510" t="str">
        <f>""</f>
        <v/>
      </c>
      <c r="BB510" t="str">
        <f>"ＴＰ３３２フタナシ"</f>
        <v>ＴＰ３３２フタナシ</v>
      </c>
      <c r="BC510" t="str">
        <f t="shared" si="458"/>
        <v xml:space="preserve"> 335.000</v>
      </c>
      <c r="BD510" t="str">
        <f t="shared" si="458"/>
        <v xml:space="preserve"> 335.000</v>
      </c>
      <c r="BE510" t="str">
        <f t="shared" si="459"/>
        <v xml:space="preserve"> 195.000</v>
      </c>
      <c r="BF510" t="str">
        <f t="shared" si="460"/>
        <v xml:space="preserve">   0.022</v>
      </c>
      <c r="BG510" t="str">
        <f>"   3.300"</f>
        <v xml:space="preserve">   3.300</v>
      </c>
      <c r="BH510" t="str">
        <f t="shared" si="448"/>
        <v>しない</v>
      </c>
      <c r="BI510" t="str">
        <f>""</f>
        <v/>
      </c>
      <c r="BJ510" t="str">
        <f t="shared" si="445"/>
        <v>MASTER01</v>
      </c>
      <c r="BK510" t="str">
        <f>"2022/04/19"</f>
        <v>2022/04/19</v>
      </c>
      <c r="BL510" t="str">
        <f t="shared" si="433"/>
        <v>NE00</v>
      </c>
      <c r="BM510" t="str">
        <f t="shared" si="434"/>
        <v>１工工務Ｇ</v>
      </c>
      <c r="BN510" t="str">
        <f t="shared" si="442"/>
        <v>46548</v>
      </c>
      <c r="BO510" t="str">
        <f t="shared" si="443"/>
        <v>長畑　玲奈</v>
      </c>
    </row>
    <row r="511" spans="1:67">
      <c r="A511" t="s">
        <v>592</v>
      </c>
      <c r="B511" t="str">
        <f>""</f>
        <v/>
      </c>
      <c r="C511" t="str">
        <f>""</f>
        <v/>
      </c>
      <c r="D511" t="s">
        <v>88</v>
      </c>
      <c r="E511" t="str">
        <f t="shared" si="423"/>
        <v>1Y</v>
      </c>
      <c r="F511" t="str">
        <f t="shared" si="424"/>
        <v>第１工場</v>
      </c>
      <c r="G511" t="str">
        <f t="shared" si="425"/>
        <v>手配</v>
      </c>
      <c r="H511" t="str">
        <f t="shared" si="426"/>
        <v>Ｐ</v>
      </c>
      <c r="I511" t="str">
        <f>"7042"</f>
        <v>7042</v>
      </c>
      <c r="J511" t="str">
        <f>"（株）メタルテック"</f>
        <v>（株）メタルテック</v>
      </c>
      <c r="K511" t="str">
        <f t="shared" si="455"/>
        <v>01</v>
      </c>
      <c r="L511" t="str">
        <f>""</f>
        <v/>
      </c>
      <c r="M511" t="str">
        <f t="shared" si="449"/>
        <v>――</v>
      </c>
      <c r="N511" t="str">
        <f t="shared" si="449"/>
        <v>――</v>
      </c>
      <c r="O511" t="str">
        <f t="shared" si="427"/>
        <v>Ｍ</v>
      </c>
      <c r="P511" t="str">
        <f t="shared" si="428"/>
        <v>01</v>
      </c>
      <c r="Q511" t="str">
        <f t="shared" si="429"/>
        <v>第１</v>
      </c>
      <c r="R511" t="str">
        <f t="shared" si="430"/>
        <v>1Y</v>
      </c>
      <c r="S511" t="str">
        <f t="shared" si="431"/>
        <v>安城第１工場</v>
      </c>
      <c r="T511" t="str">
        <f t="shared" si="432"/>
        <v>直接</v>
      </c>
      <c r="U511" t="str">
        <f>""</f>
        <v/>
      </c>
      <c r="V511" t="str">
        <f>""</f>
        <v/>
      </c>
      <c r="W511" t="str">
        <f>""</f>
        <v/>
      </c>
      <c r="X511">
        <v>1</v>
      </c>
      <c r="Y511">
        <v>1</v>
      </c>
      <c r="Z511">
        <v>1.9</v>
      </c>
      <c r="AA511">
        <v>1.04</v>
      </c>
      <c r="AB511">
        <v>3</v>
      </c>
      <c r="AC511">
        <v>1.04</v>
      </c>
      <c r="AD511">
        <v>1.04</v>
      </c>
      <c r="AE511">
        <v>1.1000000000000001</v>
      </c>
      <c r="AF511">
        <v>0.5</v>
      </c>
      <c r="AG511" t="str">
        <f>"060"</f>
        <v>060</v>
      </c>
      <c r="AH511" t="str">
        <f>"（株）メタルテック"</f>
        <v>（株）メタルテック</v>
      </c>
      <c r="AI511" t="str">
        <f>"005"</f>
        <v>005</v>
      </c>
      <c r="AJ511" t="str">
        <f>"S-TA-2-24"</f>
        <v>S-TA-2-24</v>
      </c>
      <c r="AK511" t="str">
        <f>"30358"</f>
        <v>30358</v>
      </c>
      <c r="AL511" t="str">
        <f>"9168"</f>
        <v>9168</v>
      </c>
      <c r="AM511" t="str">
        <f>"ﾁｭｰﾌﾞT/Aﾙｰﾌﾞｱﾌﾟﾗｲ"</f>
        <v>ﾁｭｰﾌﾞT/Aﾙｰﾌﾞｱﾌﾟﾗｲ</v>
      </c>
      <c r="AN511" t="str">
        <f t="shared" si="456"/>
        <v>016</v>
      </c>
      <c r="AO511" t="str">
        <f t="shared" si="457"/>
        <v>TP-332 ﾊﾝﾖｳ</v>
      </c>
      <c r="AP511">
        <v>60</v>
      </c>
      <c r="AQ511" t="str">
        <f>""</f>
        <v/>
      </c>
      <c r="AR511" t="str">
        <f>""</f>
        <v/>
      </c>
      <c r="AS511" t="str">
        <f>""</f>
        <v/>
      </c>
      <c r="AT511" t="str">
        <f t="shared" si="417"/>
        <v>00</v>
      </c>
      <c r="AU511">
        <v>0.5</v>
      </c>
      <c r="AV511" t="str">
        <f>""</f>
        <v/>
      </c>
      <c r="AW511" t="str">
        <f>"08"</f>
        <v>08</v>
      </c>
      <c r="AX511" t="str">
        <f>"専用"</f>
        <v>専用</v>
      </c>
      <c r="AY511" t="str">
        <f>"01"</f>
        <v>01</v>
      </c>
      <c r="AZ511" t="str">
        <f>"後補充"</f>
        <v>後補充</v>
      </c>
      <c r="BA511" t="str">
        <f>""</f>
        <v/>
      </c>
      <c r="BB511" t="str">
        <f>"ＴＰ３３２フタナシ"</f>
        <v>ＴＰ３３２フタナシ</v>
      </c>
      <c r="BC511" t="str">
        <f t="shared" si="458"/>
        <v xml:space="preserve"> 335.000</v>
      </c>
      <c r="BD511" t="str">
        <f t="shared" si="458"/>
        <v xml:space="preserve"> 335.000</v>
      </c>
      <c r="BE511" t="str">
        <f t="shared" si="459"/>
        <v xml:space="preserve"> 195.000</v>
      </c>
      <c r="BF511" t="str">
        <f t="shared" si="460"/>
        <v xml:space="preserve">   0.022</v>
      </c>
      <c r="BG511" t="str">
        <f>"   3.500"</f>
        <v xml:space="preserve">   3.500</v>
      </c>
      <c r="BH511" t="str">
        <f t="shared" si="448"/>
        <v>しない</v>
      </c>
      <c r="BI511" t="str">
        <f>""</f>
        <v/>
      </c>
      <c r="BJ511" t="str">
        <f t="shared" si="445"/>
        <v>MASTER01</v>
      </c>
      <c r="BK511" t="str">
        <f>"2022/04/19"</f>
        <v>2022/04/19</v>
      </c>
      <c r="BL511" t="str">
        <f t="shared" si="433"/>
        <v>NE00</v>
      </c>
      <c r="BM511" t="str">
        <f t="shared" si="434"/>
        <v>１工工務Ｇ</v>
      </c>
      <c r="BN511" t="str">
        <f t="shared" si="442"/>
        <v>46548</v>
      </c>
      <c r="BO511" t="str">
        <f t="shared" si="443"/>
        <v>長畑　玲奈</v>
      </c>
    </row>
    <row r="512" spans="1:67">
      <c r="A512" t="s">
        <v>593</v>
      </c>
      <c r="B512" t="str">
        <f>""</f>
        <v/>
      </c>
      <c r="C512" t="str">
        <f>""</f>
        <v/>
      </c>
      <c r="D512" t="s">
        <v>89</v>
      </c>
      <c r="E512" t="str">
        <f t="shared" si="423"/>
        <v>1Y</v>
      </c>
      <c r="F512" t="str">
        <f t="shared" si="424"/>
        <v>第１工場</v>
      </c>
      <c r="G512" t="str">
        <f t="shared" si="425"/>
        <v>手配</v>
      </c>
      <c r="H512" t="str">
        <f t="shared" si="426"/>
        <v>Ｐ</v>
      </c>
      <c r="I512" t="str">
        <f>"7042"</f>
        <v>7042</v>
      </c>
      <c r="J512" t="str">
        <f>"（株）メタルテック"</f>
        <v>（株）メタルテック</v>
      </c>
      <c r="K512" t="str">
        <f t="shared" si="455"/>
        <v>01</v>
      </c>
      <c r="L512" t="str">
        <f>""</f>
        <v/>
      </c>
      <c r="M512" t="str">
        <f t="shared" si="449"/>
        <v>――</v>
      </c>
      <c r="N512" t="str">
        <f t="shared" si="449"/>
        <v>――</v>
      </c>
      <c r="O512" t="str">
        <f t="shared" si="427"/>
        <v>Ｍ</v>
      </c>
      <c r="P512" t="str">
        <f t="shared" si="428"/>
        <v>01</v>
      </c>
      <c r="Q512" t="str">
        <f t="shared" si="429"/>
        <v>第１</v>
      </c>
      <c r="R512" t="str">
        <f t="shared" si="430"/>
        <v>1Y</v>
      </c>
      <c r="S512" t="str">
        <f t="shared" si="431"/>
        <v>安城第１工場</v>
      </c>
      <c r="T512" t="str">
        <f t="shared" si="432"/>
        <v>直接</v>
      </c>
      <c r="U512" t="str">
        <f>""</f>
        <v/>
      </c>
      <c r="V512" t="str">
        <f>""</f>
        <v/>
      </c>
      <c r="W512" t="str">
        <f>""</f>
        <v/>
      </c>
      <c r="X512">
        <v>1</v>
      </c>
      <c r="Y512">
        <v>1</v>
      </c>
      <c r="Z512">
        <v>1.9</v>
      </c>
      <c r="AA512">
        <v>1.04</v>
      </c>
      <c r="AB512">
        <v>3</v>
      </c>
      <c r="AC512">
        <v>1.04</v>
      </c>
      <c r="AD512">
        <v>1.04</v>
      </c>
      <c r="AE512">
        <v>1.1000000000000001</v>
      </c>
      <c r="AF512">
        <v>0.5</v>
      </c>
      <c r="AG512" t="str">
        <f>"060"</f>
        <v>060</v>
      </c>
      <c r="AH512" t="str">
        <f>"（株）メタルテック"</f>
        <v>（株）メタルテック</v>
      </c>
      <c r="AI512" t="str">
        <f>"003"</f>
        <v>003</v>
      </c>
      <c r="AJ512" t="str">
        <f>"S-TA-2-22"</f>
        <v>S-TA-2-22</v>
      </c>
      <c r="AK512" t="str">
        <f>"30356"</f>
        <v>30356</v>
      </c>
      <c r="AL512" t="str">
        <f>"0342"</f>
        <v>0342</v>
      </c>
      <c r="AM512" t="str">
        <f>"ﾁｭｰﾌﾞﾃﾞﾌｷﾞﾔﾘｭｰﾌﾞｱﾌﾟﾗｲ"</f>
        <v>ﾁｭｰﾌﾞﾃﾞﾌｷﾞﾔﾘｭｰﾌﾞｱﾌﾟﾗｲ</v>
      </c>
      <c r="AN512" t="str">
        <f t="shared" si="456"/>
        <v>016</v>
      </c>
      <c r="AO512" t="str">
        <f t="shared" si="457"/>
        <v>TP-332 ﾊﾝﾖｳ</v>
      </c>
      <c r="AP512">
        <v>50</v>
      </c>
      <c r="AQ512" t="str">
        <f>""</f>
        <v/>
      </c>
      <c r="AR512" t="str">
        <f>""</f>
        <v/>
      </c>
      <c r="AS512" t="str">
        <f>""</f>
        <v/>
      </c>
      <c r="AT512" t="str">
        <f t="shared" si="417"/>
        <v>00</v>
      </c>
      <c r="AU512">
        <v>0.5</v>
      </c>
      <c r="AV512" t="str">
        <f>""</f>
        <v/>
      </c>
      <c r="AW512" t="str">
        <f>"08"</f>
        <v>08</v>
      </c>
      <c r="AX512" t="str">
        <f>"専用"</f>
        <v>専用</v>
      </c>
      <c r="AY512" t="str">
        <f>"01"</f>
        <v>01</v>
      </c>
      <c r="AZ512" t="str">
        <f>"後補充"</f>
        <v>後補充</v>
      </c>
      <c r="BA512" t="str">
        <f>""</f>
        <v/>
      </c>
      <c r="BB512" t="str">
        <f>"ＴＰ３３２フタナシ"</f>
        <v>ＴＰ３３２フタナシ</v>
      </c>
      <c r="BC512" t="str">
        <f t="shared" si="458"/>
        <v xml:space="preserve"> 335.000</v>
      </c>
      <c r="BD512" t="str">
        <f t="shared" si="458"/>
        <v xml:space="preserve"> 335.000</v>
      </c>
      <c r="BE512" t="str">
        <f t="shared" si="459"/>
        <v xml:space="preserve"> 195.000</v>
      </c>
      <c r="BF512" t="str">
        <f t="shared" si="460"/>
        <v xml:space="preserve">   0.022</v>
      </c>
      <c r="BG512" t="str">
        <f>"   2.500"</f>
        <v xml:space="preserve">   2.500</v>
      </c>
      <c r="BH512" t="str">
        <f t="shared" si="448"/>
        <v>しない</v>
      </c>
      <c r="BI512" t="str">
        <f>""</f>
        <v/>
      </c>
      <c r="BJ512" t="str">
        <f t="shared" si="445"/>
        <v>MASTER01</v>
      </c>
      <c r="BK512" t="str">
        <f>"2022/04/19"</f>
        <v>2022/04/19</v>
      </c>
      <c r="BL512" t="str">
        <f t="shared" si="433"/>
        <v>NE00</v>
      </c>
      <c r="BM512" t="str">
        <f t="shared" si="434"/>
        <v>１工工務Ｇ</v>
      </c>
      <c r="BN512" t="str">
        <f t="shared" si="442"/>
        <v>46548</v>
      </c>
      <c r="BO512" t="str">
        <f t="shared" si="443"/>
        <v>長畑　玲奈</v>
      </c>
    </row>
    <row r="513" spans="1:67">
      <c r="A513" t="s">
        <v>594</v>
      </c>
      <c r="B513" t="str">
        <f>""</f>
        <v/>
      </c>
      <c r="C513" t="str">
        <f>""</f>
        <v/>
      </c>
      <c r="D513" t="s">
        <v>23</v>
      </c>
      <c r="E513" t="str">
        <f t="shared" si="423"/>
        <v>1Y</v>
      </c>
      <c r="F513" t="str">
        <f t="shared" si="424"/>
        <v>第１工場</v>
      </c>
      <c r="G513" t="str">
        <f t="shared" si="425"/>
        <v>手配</v>
      </c>
      <c r="H513" t="str">
        <f t="shared" si="426"/>
        <v>Ｐ</v>
      </c>
      <c r="I513" t="str">
        <f>"9045"</f>
        <v>9045</v>
      </c>
      <c r="J513" t="str">
        <f>"日進工業（株）"</f>
        <v>日進工業（株）</v>
      </c>
      <c r="K513" t="str">
        <f t="shared" si="455"/>
        <v>01</v>
      </c>
      <c r="L513" t="str">
        <f>"丸共通運"</f>
        <v>丸共通運</v>
      </c>
      <c r="M513" t="str">
        <f t="shared" si="449"/>
        <v>――</v>
      </c>
      <c r="N513" t="str">
        <f t="shared" si="449"/>
        <v>――</v>
      </c>
      <c r="O513" t="str">
        <f t="shared" si="427"/>
        <v>Ｍ</v>
      </c>
      <c r="P513" t="str">
        <f t="shared" si="428"/>
        <v>01</v>
      </c>
      <c r="Q513" t="str">
        <f t="shared" si="429"/>
        <v>第１</v>
      </c>
      <c r="R513" t="str">
        <f t="shared" si="430"/>
        <v>1Y</v>
      </c>
      <c r="S513" t="str">
        <f t="shared" si="431"/>
        <v>安城第１工場</v>
      </c>
      <c r="T513" t="str">
        <f t="shared" si="432"/>
        <v>直接</v>
      </c>
      <c r="U513" t="str">
        <f>""</f>
        <v/>
      </c>
      <c r="V513" t="str">
        <f>""</f>
        <v/>
      </c>
      <c r="W513" t="str">
        <f>""</f>
        <v/>
      </c>
      <c r="X513">
        <v>1</v>
      </c>
      <c r="Y513">
        <v>1</v>
      </c>
      <c r="Z513">
        <v>0.81</v>
      </c>
      <c r="AA513">
        <v>0.52</v>
      </c>
      <c r="AB513">
        <v>0</v>
      </c>
      <c r="AC513">
        <v>0.52</v>
      </c>
      <c r="AD513">
        <v>0.52</v>
      </c>
      <c r="AE513">
        <v>1.1000000000000001</v>
      </c>
      <c r="AF513">
        <v>0.5</v>
      </c>
      <c r="AG513" t="str">
        <f>"085"</f>
        <v>085</v>
      </c>
      <c r="AH513" t="str">
        <f>"日進工業（株）"</f>
        <v>日進工業（株）</v>
      </c>
      <c r="AI513" t="str">
        <f>"001"</f>
        <v>001</v>
      </c>
      <c r="AJ513" t="str">
        <f>""</f>
        <v/>
      </c>
      <c r="AK513" t="str">
        <f>""</f>
        <v/>
      </c>
      <c r="AL513" t="str">
        <f>"9998"</f>
        <v>9998</v>
      </c>
      <c r="AM513" t="str">
        <f>"ｷｬｯﾌﾟｼｯﾋﾟﾝｸﾞ"</f>
        <v>ｷｬｯﾌﾟｼｯﾋﾟﾝｸﾞ</v>
      </c>
      <c r="AN513" t="str">
        <f t="shared" si="456"/>
        <v>016</v>
      </c>
      <c r="AO513" t="str">
        <f t="shared" si="457"/>
        <v>TP-332 ﾊﾝﾖｳ</v>
      </c>
      <c r="AP513">
        <v>100</v>
      </c>
      <c r="AQ513" t="str">
        <f>""</f>
        <v/>
      </c>
      <c r="AR513" t="str">
        <f>""</f>
        <v/>
      </c>
      <c r="AS513" t="str">
        <f>""</f>
        <v/>
      </c>
      <c r="AT513" t="str">
        <f t="shared" ref="AT513:AT557" si="461">"00"</f>
        <v>00</v>
      </c>
      <c r="AU513">
        <v>0.8</v>
      </c>
      <c r="AV513" t="str">
        <f>""</f>
        <v/>
      </c>
      <c r="AW513" t="str">
        <f>""</f>
        <v/>
      </c>
      <c r="AX513" t="str">
        <f>""</f>
        <v/>
      </c>
      <c r="AY513" t="str">
        <f>""</f>
        <v/>
      </c>
      <c r="AZ513" t="str">
        <f>""</f>
        <v/>
      </c>
      <c r="BA513" t="str">
        <f>""</f>
        <v/>
      </c>
      <c r="BB513" t="str">
        <f>""</f>
        <v/>
      </c>
      <c r="BC513" t="str">
        <f t="shared" si="458"/>
        <v xml:space="preserve"> 335.000</v>
      </c>
      <c r="BD513" t="str">
        <f t="shared" si="458"/>
        <v xml:space="preserve"> 335.000</v>
      </c>
      <c r="BE513" t="str">
        <f t="shared" si="459"/>
        <v xml:space="preserve"> 195.000</v>
      </c>
      <c r="BF513" t="str">
        <f t="shared" si="460"/>
        <v xml:space="preserve">   0.022</v>
      </c>
      <c r="BG513" t="str">
        <f>"   1.100"</f>
        <v xml:space="preserve">   1.100</v>
      </c>
      <c r="BH513" t="str">
        <f t="shared" si="448"/>
        <v>しない</v>
      </c>
      <c r="BI513" t="str">
        <f>""</f>
        <v/>
      </c>
      <c r="BJ513" t="str">
        <f t="shared" si="445"/>
        <v>MASTER01</v>
      </c>
      <c r="BK513" t="str">
        <f>"2023/01/17"</f>
        <v>2023/01/17</v>
      </c>
      <c r="BL513" t="str">
        <f t="shared" si="433"/>
        <v>NE00</v>
      </c>
      <c r="BM513" t="str">
        <f t="shared" si="434"/>
        <v>１工工務Ｇ</v>
      </c>
      <c r="BN513" t="str">
        <f t="shared" si="442"/>
        <v>46548</v>
      </c>
      <c r="BO513" t="str">
        <f t="shared" si="443"/>
        <v>長畑　玲奈</v>
      </c>
    </row>
    <row r="514" spans="1:67">
      <c r="A514" t="s">
        <v>595</v>
      </c>
      <c r="B514" t="str">
        <f>""</f>
        <v/>
      </c>
      <c r="C514" t="str">
        <f>""</f>
        <v/>
      </c>
      <c r="D514" t="s">
        <v>90</v>
      </c>
      <c r="E514" t="str">
        <f t="shared" ref="E514:E557" si="462">"1Y"</f>
        <v>1Y</v>
      </c>
      <c r="F514" t="str">
        <f t="shared" ref="F514:F557" si="463">"第１工場"</f>
        <v>第１工場</v>
      </c>
      <c r="G514" t="str">
        <f t="shared" ref="G514:G519" si="464">"手配"</f>
        <v>手配</v>
      </c>
      <c r="H514" t="str">
        <f t="shared" ref="H514:H557" si="465">"Ｐ"</f>
        <v>Ｐ</v>
      </c>
      <c r="I514" t="str">
        <f>"9407"</f>
        <v>9407</v>
      </c>
      <c r="J514" t="str">
        <f>"（株）ニフコ"</f>
        <v>（株）ニフコ</v>
      </c>
      <c r="K514" t="str">
        <f t="shared" si="455"/>
        <v>01</v>
      </c>
      <c r="L514" t="str">
        <f>"名古屋事業所"</f>
        <v>名古屋事業所</v>
      </c>
      <c r="M514" t="str">
        <f t="shared" si="449"/>
        <v>――</v>
      </c>
      <c r="N514" t="str">
        <f t="shared" si="449"/>
        <v>――</v>
      </c>
      <c r="O514" t="str">
        <f t="shared" ref="O514:O519" si="466">"Ｍ"</f>
        <v>Ｍ</v>
      </c>
      <c r="P514" t="str">
        <f t="shared" ref="P514:P519" si="467">"01"</f>
        <v>01</v>
      </c>
      <c r="Q514" t="str">
        <f t="shared" ref="Q514:Q519" si="468">"第１"</f>
        <v>第１</v>
      </c>
      <c r="R514" t="str">
        <f t="shared" ref="R514:R519" si="469">"1Y"</f>
        <v>1Y</v>
      </c>
      <c r="S514" t="str">
        <f t="shared" ref="S514:S519" si="470">"安城第１工場"</f>
        <v>安城第１工場</v>
      </c>
      <c r="T514" t="str">
        <f t="shared" ref="T514:T557" si="471">"直接"</f>
        <v>直接</v>
      </c>
      <c r="U514" t="str">
        <f>""</f>
        <v/>
      </c>
      <c r="V514" t="str">
        <f>""</f>
        <v/>
      </c>
      <c r="W514" t="str">
        <f>""</f>
        <v/>
      </c>
      <c r="X514">
        <v>1</v>
      </c>
      <c r="Y514">
        <v>1</v>
      </c>
      <c r="Z514">
        <v>2.14</v>
      </c>
      <c r="AA514">
        <v>1.07</v>
      </c>
      <c r="AB514">
        <v>3</v>
      </c>
      <c r="AC514">
        <v>1.07</v>
      </c>
      <c r="AD514">
        <v>1.07</v>
      </c>
      <c r="AE514">
        <v>1.1000000000000001</v>
      </c>
      <c r="AF514">
        <v>0.5</v>
      </c>
      <c r="AG514" t="str">
        <f>"071"</f>
        <v>071</v>
      </c>
      <c r="AH514" t="str">
        <f>"（株）ニフコ"</f>
        <v>（株）ニフコ</v>
      </c>
      <c r="AI514" t="str">
        <f>"003"</f>
        <v>003</v>
      </c>
      <c r="AJ514" t="str">
        <f>""</f>
        <v/>
      </c>
      <c r="AK514" t="str">
        <f>""</f>
        <v/>
      </c>
      <c r="AL514" t="str">
        <f>"0451"</f>
        <v>0451</v>
      </c>
      <c r="AM514" t="str">
        <f>"ｵｲﾙﾊﾟﾝ"</f>
        <v>ｵｲﾙﾊﾟﾝ</v>
      </c>
      <c r="AN514" t="str">
        <f>"012"</f>
        <v>012</v>
      </c>
      <c r="AO514" t="str">
        <f>"TP-131 ﾊﾝﾖｳ"</f>
        <v>TP-131 ﾊﾝﾖｳ</v>
      </c>
      <c r="AP514">
        <v>350</v>
      </c>
      <c r="AQ514" t="str">
        <f>""</f>
        <v/>
      </c>
      <c r="AR514" t="str">
        <f>""</f>
        <v/>
      </c>
      <c r="AS514" t="str">
        <f>""</f>
        <v/>
      </c>
      <c r="AT514" t="str">
        <f t="shared" si="461"/>
        <v>00</v>
      </c>
      <c r="AU514">
        <v>0.5</v>
      </c>
      <c r="AV514" t="str">
        <f>""</f>
        <v/>
      </c>
      <c r="AW514" t="str">
        <f>""</f>
        <v/>
      </c>
      <c r="AX514" t="str">
        <f>""</f>
        <v/>
      </c>
      <c r="AY514" t="str">
        <f>""</f>
        <v/>
      </c>
      <c r="AZ514" t="str">
        <f>""</f>
        <v/>
      </c>
      <c r="BA514" t="str">
        <f>""</f>
        <v/>
      </c>
      <c r="BB514" t="str">
        <f>"ＴＰ３３１フタナシ"</f>
        <v>ＴＰ３３１フタナシ</v>
      </c>
      <c r="BC514" t="str">
        <f>" 335.000"</f>
        <v xml:space="preserve"> 335.000</v>
      </c>
      <c r="BD514" t="str">
        <f>" 168.000"</f>
        <v xml:space="preserve"> 168.000</v>
      </c>
      <c r="BE514" t="str">
        <f t="shared" ref="BE514:BE519" si="472">" 103.000"</f>
        <v xml:space="preserve"> 103.000</v>
      </c>
      <c r="BF514" t="str">
        <f>"   0.006"</f>
        <v xml:space="preserve">   0.006</v>
      </c>
      <c r="BG514" t="str">
        <f>"   1.500"</f>
        <v xml:space="preserve">   1.500</v>
      </c>
      <c r="BH514" t="str">
        <f t="shared" si="448"/>
        <v>しない</v>
      </c>
      <c r="BI514" t="str">
        <f>""</f>
        <v/>
      </c>
      <c r="BJ514" t="str">
        <f t="shared" si="445"/>
        <v>MASTER01</v>
      </c>
      <c r="BK514" t="str">
        <f>"2023/01/17"</f>
        <v>2023/01/17</v>
      </c>
      <c r="BL514" t="str">
        <f t="shared" ref="BL514:BL557" si="473">"NE00"</f>
        <v>NE00</v>
      </c>
      <c r="BM514" t="str">
        <f t="shared" ref="BM514:BM557" si="474">"１工工務Ｇ"</f>
        <v>１工工務Ｇ</v>
      </c>
      <c r="BN514" t="str">
        <f t="shared" si="442"/>
        <v>46548</v>
      </c>
      <c r="BO514" t="str">
        <f t="shared" si="443"/>
        <v>長畑　玲奈</v>
      </c>
    </row>
    <row r="515" spans="1:67">
      <c r="A515" t="s">
        <v>596</v>
      </c>
      <c r="B515" t="str">
        <f>""</f>
        <v/>
      </c>
      <c r="C515" t="str">
        <f>""</f>
        <v/>
      </c>
      <c r="D515" t="s">
        <v>91</v>
      </c>
      <c r="E515" t="str">
        <f t="shared" si="462"/>
        <v>1Y</v>
      </c>
      <c r="F515" t="str">
        <f t="shared" si="463"/>
        <v>第１工場</v>
      </c>
      <c r="G515" t="str">
        <f t="shared" si="464"/>
        <v>手配</v>
      </c>
      <c r="H515" t="str">
        <f t="shared" si="465"/>
        <v>Ｐ</v>
      </c>
      <c r="I515" t="str">
        <f>"9407"</f>
        <v>9407</v>
      </c>
      <c r="J515" t="str">
        <f>"（株）ニフコ"</f>
        <v>（株）ニフコ</v>
      </c>
      <c r="K515" t="str">
        <f t="shared" si="455"/>
        <v>01</v>
      </c>
      <c r="L515" t="str">
        <f>"名古屋事業所"</f>
        <v>名古屋事業所</v>
      </c>
      <c r="M515" t="str">
        <f t="shared" si="449"/>
        <v>――</v>
      </c>
      <c r="N515" t="str">
        <f t="shared" si="449"/>
        <v>――</v>
      </c>
      <c r="O515" t="str">
        <f t="shared" si="466"/>
        <v>Ｍ</v>
      </c>
      <c r="P515" t="str">
        <f t="shared" si="467"/>
        <v>01</v>
      </c>
      <c r="Q515" t="str">
        <f t="shared" si="468"/>
        <v>第１</v>
      </c>
      <c r="R515" t="str">
        <f t="shared" si="469"/>
        <v>1Y</v>
      </c>
      <c r="S515" t="str">
        <f t="shared" si="470"/>
        <v>安城第１工場</v>
      </c>
      <c r="T515" t="str">
        <f t="shared" si="471"/>
        <v>直接</v>
      </c>
      <c r="U515" t="str">
        <f>""</f>
        <v/>
      </c>
      <c r="V515" t="str">
        <f>""</f>
        <v/>
      </c>
      <c r="W515" t="str">
        <f>""</f>
        <v/>
      </c>
      <c r="X515">
        <v>1</v>
      </c>
      <c r="Y515">
        <v>1</v>
      </c>
      <c r="Z515">
        <v>2.14</v>
      </c>
      <c r="AA515">
        <v>1.07</v>
      </c>
      <c r="AB515">
        <v>3</v>
      </c>
      <c r="AC515">
        <v>1.07</v>
      </c>
      <c r="AD515">
        <v>1.07</v>
      </c>
      <c r="AE515">
        <v>1.1000000000000001</v>
      </c>
      <c r="AF515">
        <v>0.5</v>
      </c>
      <c r="AG515" t="str">
        <f>"071"</f>
        <v>071</v>
      </c>
      <c r="AH515" t="str">
        <f>"（株）ニフコ"</f>
        <v>（株）ニフコ</v>
      </c>
      <c r="AI515" t="str">
        <f>"001"</f>
        <v>001</v>
      </c>
      <c r="AJ515" t="str">
        <f>"R-1-1"</f>
        <v>R-1-1</v>
      </c>
      <c r="AK515" t="str">
        <f>"20141"</f>
        <v>20141</v>
      </c>
      <c r="AL515" t="str">
        <f>"2387"</f>
        <v>2387</v>
      </c>
      <c r="AM515" t="str">
        <f>"ｽﾄﾚｰﾅｰｵｲﾙ"</f>
        <v>ｽﾄﾚｰﾅｰｵｲﾙ</v>
      </c>
      <c r="AN515" t="str">
        <f>"014"</f>
        <v>014</v>
      </c>
      <c r="AO515" t="str">
        <f>"TP-331 ﾊﾝﾖｳ"</f>
        <v>TP-331 ﾊﾝﾖｳ</v>
      </c>
      <c r="AP515">
        <v>48</v>
      </c>
      <c r="AQ515" t="str">
        <f>""</f>
        <v/>
      </c>
      <c r="AR515" t="str">
        <f>""</f>
        <v/>
      </c>
      <c r="AS515" t="str">
        <f>""</f>
        <v/>
      </c>
      <c r="AT515" t="str">
        <f t="shared" si="461"/>
        <v>00</v>
      </c>
      <c r="AU515">
        <v>0.5</v>
      </c>
      <c r="AV515" t="str">
        <f>""</f>
        <v/>
      </c>
      <c r="AW515" t="str">
        <f>"08"</f>
        <v>08</v>
      </c>
      <c r="AX515" t="str">
        <f>"専用"</f>
        <v>専用</v>
      </c>
      <c r="AY515" t="str">
        <f>"01"</f>
        <v>01</v>
      </c>
      <c r="AZ515" t="str">
        <f>"後補充"</f>
        <v>後補充</v>
      </c>
      <c r="BA515" t="str">
        <f>""</f>
        <v/>
      </c>
      <c r="BB515" t="str">
        <f>"ＴＰ３３１フタナシ"</f>
        <v>ＴＰ３３１フタナシ</v>
      </c>
      <c r="BC515" t="str">
        <f>" 335.000"</f>
        <v xml:space="preserve"> 335.000</v>
      </c>
      <c r="BD515" t="str">
        <f>" 335.000"</f>
        <v xml:space="preserve"> 335.000</v>
      </c>
      <c r="BE515" t="str">
        <f t="shared" si="472"/>
        <v xml:space="preserve"> 103.000</v>
      </c>
      <c r="BF515" t="str">
        <f>"   0.012"</f>
        <v xml:space="preserve">   0.012</v>
      </c>
      <c r="BG515" t="str">
        <f>"   0.750"</f>
        <v xml:space="preserve">   0.750</v>
      </c>
      <c r="BH515" t="str">
        <f t="shared" si="448"/>
        <v>しない</v>
      </c>
      <c r="BI515" t="str">
        <f>""</f>
        <v/>
      </c>
      <c r="BJ515" t="str">
        <f t="shared" si="445"/>
        <v>MASTER01</v>
      </c>
      <c r="BK515" t="str">
        <f>"2022/04/19"</f>
        <v>2022/04/19</v>
      </c>
      <c r="BL515" t="str">
        <f t="shared" si="473"/>
        <v>NE00</v>
      </c>
      <c r="BM515" t="str">
        <f t="shared" si="474"/>
        <v>１工工務Ｇ</v>
      </c>
      <c r="BN515" t="str">
        <f t="shared" si="442"/>
        <v>46548</v>
      </c>
      <c r="BO515" t="str">
        <f t="shared" si="443"/>
        <v>長畑　玲奈</v>
      </c>
    </row>
    <row r="516" spans="1:67">
      <c r="A516" t="s">
        <v>597</v>
      </c>
      <c r="B516" t="str">
        <f>""</f>
        <v/>
      </c>
      <c r="C516" t="str">
        <f>""</f>
        <v/>
      </c>
      <c r="D516" t="s">
        <v>91</v>
      </c>
      <c r="E516" t="str">
        <f t="shared" si="462"/>
        <v>1Y</v>
      </c>
      <c r="F516" t="str">
        <f t="shared" si="463"/>
        <v>第１工場</v>
      </c>
      <c r="G516" t="str">
        <f t="shared" si="464"/>
        <v>手配</v>
      </c>
      <c r="H516" t="str">
        <f t="shared" si="465"/>
        <v>Ｐ</v>
      </c>
      <c r="I516" t="str">
        <f>"9407"</f>
        <v>9407</v>
      </c>
      <c r="J516" t="str">
        <f>"（株）ニフコ"</f>
        <v>（株）ニフコ</v>
      </c>
      <c r="K516" t="str">
        <f t="shared" si="455"/>
        <v>01</v>
      </c>
      <c r="L516" t="str">
        <f>"名古屋事業所"</f>
        <v>名古屋事業所</v>
      </c>
      <c r="M516" t="str">
        <f t="shared" si="449"/>
        <v>――</v>
      </c>
      <c r="N516" t="str">
        <f t="shared" si="449"/>
        <v>――</v>
      </c>
      <c r="O516" t="str">
        <f t="shared" si="466"/>
        <v>Ｍ</v>
      </c>
      <c r="P516" t="str">
        <f t="shared" si="467"/>
        <v>01</v>
      </c>
      <c r="Q516" t="str">
        <f t="shared" si="468"/>
        <v>第１</v>
      </c>
      <c r="R516" t="str">
        <f t="shared" si="469"/>
        <v>1Y</v>
      </c>
      <c r="S516" t="str">
        <f t="shared" si="470"/>
        <v>安城第１工場</v>
      </c>
      <c r="T516" t="str">
        <f t="shared" si="471"/>
        <v>直接</v>
      </c>
      <c r="U516" t="str">
        <f>""</f>
        <v/>
      </c>
      <c r="V516" t="str">
        <f>""</f>
        <v/>
      </c>
      <c r="W516" t="str">
        <f>""</f>
        <v/>
      </c>
      <c r="X516">
        <v>1</v>
      </c>
      <c r="Y516">
        <v>1</v>
      </c>
      <c r="Z516">
        <v>2.14</v>
      </c>
      <c r="AA516">
        <v>1.07</v>
      </c>
      <c r="AB516">
        <v>3</v>
      </c>
      <c r="AC516">
        <v>1.07</v>
      </c>
      <c r="AD516">
        <v>1.07</v>
      </c>
      <c r="AE516">
        <v>1.1000000000000001</v>
      </c>
      <c r="AF516">
        <v>0.5</v>
      </c>
      <c r="AG516" t="str">
        <f>"071"</f>
        <v>071</v>
      </c>
      <c r="AH516" t="str">
        <f>"（株）ニフコ"</f>
        <v>（株）ニフコ</v>
      </c>
      <c r="AI516" t="str">
        <f>"002"</f>
        <v>002</v>
      </c>
      <c r="AJ516" t="str">
        <f>"R-4-1"</f>
        <v>R-4-1</v>
      </c>
      <c r="AK516" t="str">
        <f>"20140"</f>
        <v>20140</v>
      </c>
      <c r="AL516" t="str">
        <f>"2387"</f>
        <v>2387</v>
      </c>
      <c r="AM516" t="str">
        <f>"ｽﾄﾚｰﾅｰｵｲﾙ"</f>
        <v>ｽﾄﾚｰﾅｰｵｲﾙ</v>
      </c>
      <c r="AN516" t="str">
        <f>"014"</f>
        <v>014</v>
      </c>
      <c r="AO516" t="str">
        <f>"TP-331 ﾊﾝﾖｳ"</f>
        <v>TP-331 ﾊﾝﾖｳ</v>
      </c>
      <c r="AP516">
        <v>100</v>
      </c>
      <c r="AQ516" t="str">
        <f>""</f>
        <v/>
      </c>
      <c r="AR516" t="str">
        <f>""</f>
        <v/>
      </c>
      <c r="AS516" t="str">
        <f>""</f>
        <v/>
      </c>
      <c r="AT516" t="str">
        <f t="shared" si="461"/>
        <v>00</v>
      </c>
      <c r="AU516">
        <v>0.5</v>
      </c>
      <c r="AV516" t="str">
        <f>""</f>
        <v/>
      </c>
      <c r="AW516" t="str">
        <f>"08"</f>
        <v>08</v>
      </c>
      <c r="AX516" t="str">
        <f>"専用"</f>
        <v>専用</v>
      </c>
      <c r="AY516" t="str">
        <f>"01"</f>
        <v>01</v>
      </c>
      <c r="AZ516" t="str">
        <f>"後補充"</f>
        <v>後補充</v>
      </c>
      <c r="BA516" t="str">
        <f>""</f>
        <v/>
      </c>
      <c r="BB516" t="str">
        <f>"ＴＰ３３１フタナシ"</f>
        <v>ＴＰ３３１フタナシ</v>
      </c>
      <c r="BC516" t="str">
        <f>" 335.000"</f>
        <v xml:space="preserve"> 335.000</v>
      </c>
      <c r="BD516" t="str">
        <f>" 335.000"</f>
        <v xml:space="preserve"> 335.000</v>
      </c>
      <c r="BE516" t="str">
        <f t="shared" si="472"/>
        <v xml:space="preserve"> 103.000</v>
      </c>
      <c r="BF516" t="str">
        <f>"   0.012"</f>
        <v xml:space="preserve">   0.012</v>
      </c>
      <c r="BG516" t="str">
        <f>"   0.690"</f>
        <v xml:space="preserve">   0.690</v>
      </c>
      <c r="BH516" t="str">
        <f t="shared" si="448"/>
        <v>しない</v>
      </c>
      <c r="BI516" t="str">
        <f>""</f>
        <v/>
      </c>
      <c r="BJ516" t="str">
        <f t="shared" si="445"/>
        <v>MASTER01</v>
      </c>
      <c r="BK516" t="str">
        <f>"2022/04/19"</f>
        <v>2022/04/19</v>
      </c>
      <c r="BL516" t="str">
        <f t="shared" si="473"/>
        <v>NE00</v>
      </c>
      <c r="BM516" t="str">
        <f t="shared" si="474"/>
        <v>１工工務Ｇ</v>
      </c>
      <c r="BN516" t="str">
        <f t="shared" si="442"/>
        <v>46548</v>
      </c>
      <c r="BO516" t="str">
        <f t="shared" si="443"/>
        <v>長畑　玲奈</v>
      </c>
    </row>
    <row r="517" spans="1:67">
      <c r="A517" t="s">
        <v>598</v>
      </c>
      <c r="B517" t="str">
        <f>""</f>
        <v/>
      </c>
      <c r="C517" t="str">
        <f>""</f>
        <v/>
      </c>
      <c r="D517" t="s">
        <v>92</v>
      </c>
      <c r="E517" t="str">
        <f t="shared" si="462"/>
        <v>1Y</v>
      </c>
      <c r="F517" t="str">
        <f t="shared" si="463"/>
        <v>第１工場</v>
      </c>
      <c r="G517" t="str">
        <f t="shared" si="464"/>
        <v>手配</v>
      </c>
      <c r="H517" t="str">
        <f t="shared" si="465"/>
        <v>Ｐ</v>
      </c>
      <c r="I517" t="str">
        <f>"9470"</f>
        <v>9470</v>
      </c>
      <c r="J517" t="str">
        <f>"サンコール（株）"</f>
        <v>サンコール（株）</v>
      </c>
      <c r="K517" t="str">
        <f t="shared" si="455"/>
        <v>01</v>
      </c>
      <c r="L517" t="str">
        <f>"豊田"</f>
        <v>豊田</v>
      </c>
      <c r="M517" t="str">
        <f t="shared" si="449"/>
        <v>――</v>
      </c>
      <c r="N517" t="str">
        <f t="shared" si="449"/>
        <v>――</v>
      </c>
      <c r="O517" t="str">
        <f t="shared" si="466"/>
        <v>Ｍ</v>
      </c>
      <c r="P517" t="str">
        <f t="shared" si="467"/>
        <v>01</v>
      </c>
      <c r="Q517" t="str">
        <f t="shared" si="468"/>
        <v>第１</v>
      </c>
      <c r="R517" t="str">
        <f t="shared" si="469"/>
        <v>1Y</v>
      </c>
      <c r="S517" t="str">
        <f t="shared" si="470"/>
        <v>安城第１工場</v>
      </c>
      <c r="T517" t="str">
        <f t="shared" si="471"/>
        <v>直接</v>
      </c>
      <c r="U517" t="str">
        <f>""</f>
        <v/>
      </c>
      <c r="V517" t="str">
        <f>""</f>
        <v/>
      </c>
      <c r="W517" t="str">
        <f>""</f>
        <v/>
      </c>
      <c r="X517">
        <v>1</v>
      </c>
      <c r="Y517">
        <v>1</v>
      </c>
      <c r="Z517">
        <v>2.2599999999999998</v>
      </c>
      <c r="AA517">
        <v>1.08</v>
      </c>
      <c r="AB517">
        <v>3</v>
      </c>
      <c r="AC517">
        <v>1.08</v>
      </c>
      <c r="AD517">
        <v>1.08</v>
      </c>
      <c r="AE517">
        <v>1.1000000000000001</v>
      </c>
      <c r="AF517">
        <v>0.5</v>
      </c>
      <c r="AG517" t="str">
        <f>"068"</f>
        <v>068</v>
      </c>
      <c r="AH517" t="str">
        <f>"サンコール（株）"</f>
        <v>サンコール（株）</v>
      </c>
      <c r="AI517" t="str">
        <f>"002"</f>
        <v>002</v>
      </c>
      <c r="AJ517" t="str">
        <f>""</f>
        <v/>
      </c>
      <c r="AK517" t="str">
        <f>""</f>
        <v/>
      </c>
      <c r="AL517" t="str">
        <f>"9162"</f>
        <v>9162</v>
      </c>
      <c r="AM517" t="str">
        <f>"ｽﾌﾟﾘﾝｸﾞ S/A ﾃﾞｨﾃﾝﾄ"</f>
        <v>ｽﾌﾟﾘﾝｸﾞ S/A ﾃﾞｨﾃﾝﾄ</v>
      </c>
      <c r="AN517" t="str">
        <f>"012"</f>
        <v>012</v>
      </c>
      <c r="AO517" t="str">
        <f>"TP-131 ﾊﾝﾖｳ"</f>
        <v>TP-131 ﾊﾝﾖｳ</v>
      </c>
      <c r="AP517">
        <v>150</v>
      </c>
      <c r="AQ517" t="str">
        <f>""</f>
        <v/>
      </c>
      <c r="AR517" t="str">
        <f>""</f>
        <v/>
      </c>
      <c r="AS517" t="str">
        <f>""</f>
        <v/>
      </c>
      <c r="AT517" t="str">
        <f t="shared" si="461"/>
        <v>00</v>
      </c>
      <c r="AU517">
        <v>0.5</v>
      </c>
      <c r="AV517" t="str">
        <f>""</f>
        <v/>
      </c>
      <c r="AW517" t="str">
        <f>""</f>
        <v/>
      </c>
      <c r="AX517" t="str">
        <f>""</f>
        <v/>
      </c>
      <c r="AY517" t="str">
        <f>""</f>
        <v/>
      </c>
      <c r="AZ517" t="str">
        <f>""</f>
        <v/>
      </c>
      <c r="BA517" t="str">
        <f>""</f>
        <v/>
      </c>
      <c r="BB517" t="str">
        <f>"ＴＰ１３１フタナシ"</f>
        <v>ＴＰ１３１フタナシ</v>
      </c>
      <c r="BC517" t="str">
        <f>" 168.000"</f>
        <v xml:space="preserve"> 168.000</v>
      </c>
      <c r="BD517" t="str">
        <f>" 335.000"</f>
        <v xml:space="preserve"> 335.000</v>
      </c>
      <c r="BE517" t="str">
        <f t="shared" si="472"/>
        <v xml:space="preserve"> 103.000</v>
      </c>
      <c r="BF517" t="str">
        <f>"   0.006"</f>
        <v xml:space="preserve">   0.006</v>
      </c>
      <c r="BG517" t="str">
        <f>"   2.600"</f>
        <v xml:space="preserve">   2.600</v>
      </c>
      <c r="BH517" t="str">
        <f t="shared" si="448"/>
        <v>しない</v>
      </c>
      <c r="BI517" t="str">
        <f>""</f>
        <v/>
      </c>
      <c r="BJ517" t="str">
        <f t="shared" si="445"/>
        <v>MASTER01</v>
      </c>
      <c r="BK517" t="str">
        <f>"2023/01/17"</f>
        <v>2023/01/17</v>
      </c>
      <c r="BL517" t="str">
        <f t="shared" si="473"/>
        <v>NE00</v>
      </c>
      <c r="BM517" t="str">
        <f t="shared" si="474"/>
        <v>１工工務Ｇ</v>
      </c>
      <c r="BN517" t="str">
        <f t="shared" si="442"/>
        <v>46548</v>
      </c>
      <c r="BO517" t="str">
        <f t="shared" si="443"/>
        <v>長畑　玲奈</v>
      </c>
    </row>
    <row r="518" spans="1:67">
      <c r="A518" t="s">
        <v>599</v>
      </c>
      <c r="B518" t="str">
        <f>""</f>
        <v/>
      </c>
      <c r="C518" t="str">
        <f>""</f>
        <v/>
      </c>
      <c r="D518" t="s">
        <v>92</v>
      </c>
      <c r="E518" t="str">
        <f t="shared" si="462"/>
        <v>1Y</v>
      </c>
      <c r="F518" t="str">
        <f t="shared" si="463"/>
        <v>第１工場</v>
      </c>
      <c r="G518" t="str">
        <f t="shared" si="464"/>
        <v>手配</v>
      </c>
      <c r="H518" t="str">
        <f t="shared" si="465"/>
        <v>Ｐ</v>
      </c>
      <c r="I518" t="str">
        <f>"9470"</f>
        <v>9470</v>
      </c>
      <c r="J518" t="str">
        <f>"サンコール（株）"</f>
        <v>サンコール（株）</v>
      </c>
      <c r="K518" t="str">
        <f t="shared" si="455"/>
        <v>01</v>
      </c>
      <c r="L518" t="str">
        <f>"豊田"</f>
        <v>豊田</v>
      </c>
      <c r="M518" t="str">
        <f t="shared" si="449"/>
        <v>――</v>
      </c>
      <c r="N518" t="str">
        <f t="shared" si="449"/>
        <v>――</v>
      </c>
      <c r="O518" t="str">
        <f t="shared" si="466"/>
        <v>Ｍ</v>
      </c>
      <c r="P518" t="str">
        <f t="shared" si="467"/>
        <v>01</v>
      </c>
      <c r="Q518" t="str">
        <f t="shared" si="468"/>
        <v>第１</v>
      </c>
      <c r="R518" t="str">
        <f t="shared" si="469"/>
        <v>1Y</v>
      </c>
      <c r="S518" t="str">
        <f t="shared" si="470"/>
        <v>安城第１工場</v>
      </c>
      <c r="T518" t="str">
        <f t="shared" si="471"/>
        <v>直接</v>
      </c>
      <c r="U518" t="str">
        <f>""</f>
        <v/>
      </c>
      <c r="V518" t="str">
        <f>""</f>
        <v/>
      </c>
      <c r="W518" t="str">
        <f>""</f>
        <v/>
      </c>
      <c r="X518">
        <v>1</v>
      </c>
      <c r="Y518">
        <v>1</v>
      </c>
      <c r="Z518">
        <v>2.2599999999999998</v>
      </c>
      <c r="AA518">
        <v>1.08</v>
      </c>
      <c r="AB518">
        <v>3</v>
      </c>
      <c r="AC518">
        <v>1.08</v>
      </c>
      <c r="AD518">
        <v>1.08</v>
      </c>
      <c r="AE518">
        <v>1.1000000000000001</v>
      </c>
      <c r="AF518">
        <v>0.5</v>
      </c>
      <c r="AG518" t="str">
        <f>"068"</f>
        <v>068</v>
      </c>
      <c r="AH518" t="str">
        <f>"サンコール（株）"</f>
        <v>サンコール（株）</v>
      </c>
      <c r="AI518" t="str">
        <f>"001"</f>
        <v>001</v>
      </c>
      <c r="AJ518" t="str">
        <f>"S-TA-2-10"</f>
        <v>S-TA-2-10</v>
      </c>
      <c r="AK518" t="str">
        <f>"10437"</f>
        <v>10437</v>
      </c>
      <c r="AL518" t="str">
        <f>"9162"</f>
        <v>9162</v>
      </c>
      <c r="AM518" t="str">
        <f>"ｽﾌﾟﾘﾝｸﾞS/Aﾃﾞｨﾃﾝﾄ"</f>
        <v>ｽﾌﾟﾘﾝｸﾞS/Aﾃﾞｨﾃﾝﾄ</v>
      </c>
      <c r="AN518" t="str">
        <f>"051"</f>
        <v>051</v>
      </c>
      <c r="AO518" t="str">
        <f>"AW-131 ｾﾝﾖｳ"</f>
        <v>AW-131 ｾﾝﾖｳ</v>
      </c>
      <c r="AP518">
        <v>200</v>
      </c>
      <c r="AQ518" t="str">
        <f>""</f>
        <v/>
      </c>
      <c r="AR518" t="str">
        <f>""</f>
        <v/>
      </c>
      <c r="AS518" t="str">
        <f>""</f>
        <v/>
      </c>
      <c r="AT518" t="str">
        <f t="shared" si="461"/>
        <v>00</v>
      </c>
      <c r="AU518">
        <v>0.5</v>
      </c>
      <c r="AV518" t="str">
        <f>""</f>
        <v/>
      </c>
      <c r="AW518" t="str">
        <f>"08"</f>
        <v>08</v>
      </c>
      <c r="AX518" t="str">
        <f>"専用"</f>
        <v>専用</v>
      </c>
      <c r="AY518" t="str">
        <f>"01"</f>
        <v>01</v>
      </c>
      <c r="AZ518" t="str">
        <f>"後補充"</f>
        <v>後補充</v>
      </c>
      <c r="BA518" t="str">
        <f>""</f>
        <v/>
      </c>
      <c r="BB518" t="str">
        <f>"ＴＰ１３１フタナシ"</f>
        <v>ＴＰ１３１フタナシ</v>
      </c>
      <c r="BC518" t="str">
        <f>" 168.000"</f>
        <v xml:space="preserve"> 168.000</v>
      </c>
      <c r="BD518" t="str">
        <f>" 335.000"</f>
        <v xml:space="preserve"> 335.000</v>
      </c>
      <c r="BE518" t="str">
        <f t="shared" si="472"/>
        <v xml:space="preserve"> 103.000</v>
      </c>
      <c r="BF518" t="str">
        <f>"   0.006"</f>
        <v xml:space="preserve">   0.006</v>
      </c>
      <c r="BG518" t="str">
        <f>"   2.600"</f>
        <v xml:space="preserve">   2.600</v>
      </c>
      <c r="BH518" t="str">
        <f t="shared" si="448"/>
        <v>しない</v>
      </c>
      <c r="BI518" t="str">
        <f>""</f>
        <v/>
      </c>
      <c r="BJ518" t="str">
        <f t="shared" si="445"/>
        <v>MASTER01</v>
      </c>
      <c r="BK518" t="str">
        <f>"2022/04/19"</f>
        <v>2022/04/19</v>
      </c>
      <c r="BL518" t="str">
        <f t="shared" si="473"/>
        <v>NE00</v>
      </c>
      <c r="BM518" t="str">
        <f t="shared" si="474"/>
        <v>１工工務Ｇ</v>
      </c>
      <c r="BN518" t="str">
        <f t="shared" si="442"/>
        <v>46548</v>
      </c>
      <c r="BO518" t="str">
        <f t="shared" si="443"/>
        <v>長畑　玲奈</v>
      </c>
    </row>
    <row r="519" spans="1:67">
      <c r="A519" t="s">
        <v>600</v>
      </c>
      <c r="B519" t="str">
        <f>""</f>
        <v/>
      </c>
      <c r="C519" t="str">
        <f>""</f>
        <v/>
      </c>
      <c r="D519" t="s">
        <v>93</v>
      </c>
      <c r="E519" t="str">
        <f t="shared" si="462"/>
        <v>1Y</v>
      </c>
      <c r="F519" t="str">
        <f t="shared" si="463"/>
        <v>第１工場</v>
      </c>
      <c r="G519" t="str">
        <f t="shared" si="464"/>
        <v>手配</v>
      </c>
      <c r="H519" t="str">
        <f t="shared" si="465"/>
        <v>Ｐ</v>
      </c>
      <c r="I519" t="str">
        <f>"9470"</f>
        <v>9470</v>
      </c>
      <c r="J519" t="str">
        <f>"サンコール（株）"</f>
        <v>サンコール（株）</v>
      </c>
      <c r="K519" t="str">
        <f t="shared" si="455"/>
        <v>01</v>
      </c>
      <c r="L519" t="str">
        <f>"豊田"</f>
        <v>豊田</v>
      </c>
      <c r="M519" t="str">
        <f t="shared" si="449"/>
        <v>――</v>
      </c>
      <c r="N519" t="str">
        <f t="shared" si="449"/>
        <v>――</v>
      </c>
      <c r="O519" t="str">
        <f t="shared" si="466"/>
        <v>Ｍ</v>
      </c>
      <c r="P519" t="str">
        <f t="shared" si="467"/>
        <v>01</v>
      </c>
      <c r="Q519" t="str">
        <f t="shared" si="468"/>
        <v>第１</v>
      </c>
      <c r="R519" t="str">
        <f t="shared" si="469"/>
        <v>1Y</v>
      </c>
      <c r="S519" t="str">
        <f t="shared" si="470"/>
        <v>安城第１工場</v>
      </c>
      <c r="T519" t="str">
        <f t="shared" si="471"/>
        <v>直接</v>
      </c>
      <c r="U519" t="str">
        <f>""</f>
        <v/>
      </c>
      <c r="V519" t="str">
        <f>""</f>
        <v/>
      </c>
      <c r="W519" t="str">
        <f>""</f>
        <v/>
      </c>
      <c r="X519">
        <v>1</v>
      </c>
      <c r="Y519">
        <v>1</v>
      </c>
      <c r="Z519">
        <v>2.2599999999999998</v>
      </c>
      <c r="AA519">
        <v>1.08</v>
      </c>
      <c r="AB519">
        <v>3</v>
      </c>
      <c r="AC519">
        <v>1.08</v>
      </c>
      <c r="AD519">
        <v>1.08</v>
      </c>
      <c r="AE519">
        <v>1.1000000000000001</v>
      </c>
      <c r="AF519">
        <v>0.5</v>
      </c>
      <c r="AG519" t="str">
        <f>"068"</f>
        <v>068</v>
      </c>
      <c r="AH519" t="str">
        <f>"サンコール（株）"</f>
        <v>サンコール（株）</v>
      </c>
      <c r="AI519" t="str">
        <f>"003"</f>
        <v>003</v>
      </c>
      <c r="AJ519" t="str">
        <f>"S-TA-2-10"</f>
        <v>S-TA-2-10</v>
      </c>
      <c r="AK519" t="str">
        <f>"10437"</f>
        <v>10437</v>
      </c>
      <c r="AL519" t="str">
        <f>"9130"</f>
        <v>9130</v>
      </c>
      <c r="AM519" t="str">
        <f>"ｶﾊﾞｰﾃﾞｨﾃﾝﾄｽﾌﾟﾘﾝｸﾞ"</f>
        <v>ｶﾊﾞｰﾃﾞｨﾃﾝﾄｽﾌﾟﾘﾝｸﾞ</v>
      </c>
      <c r="AN519" t="str">
        <f>"051"</f>
        <v>051</v>
      </c>
      <c r="AO519" t="str">
        <f>"AW-131 ｾﾝﾖｳ"</f>
        <v>AW-131 ｾﾝﾖｳ</v>
      </c>
      <c r="AP519">
        <v>200</v>
      </c>
      <c r="AQ519" t="str">
        <f>""</f>
        <v/>
      </c>
      <c r="AR519" t="str">
        <f>""</f>
        <v/>
      </c>
      <c r="AS519" t="str">
        <f>""</f>
        <v/>
      </c>
      <c r="AT519" t="str">
        <f t="shared" si="461"/>
        <v>00</v>
      </c>
      <c r="AU519">
        <v>0.5</v>
      </c>
      <c r="AV519" t="str">
        <f>""</f>
        <v/>
      </c>
      <c r="AW519" t="str">
        <f>"08"</f>
        <v>08</v>
      </c>
      <c r="AX519" t="str">
        <f>"専用"</f>
        <v>専用</v>
      </c>
      <c r="AY519" t="str">
        <f>"01"</f>
        <v>01</v>
      </c>
      <c r="AZ519" t="str">
        <f>"後補充"</f>
        <v>後補充</v>
      </c>
      <c r="BA519" t="str">
        <f>""</f>
        <v/>
      </c>
      <c r="BB519" t="str">
        <f>"ＴＰ１３１フタナシ"</f>
        <v>ＴＰ１３１フタナシ</v>
      </c>
      <c r="BC519" t="str">
        <f>" 168.000"</f>
        <v xml:space="preserve"> 168.000</v>
      </c>
      <c r="BD519" t="str">
        <f>" 335.000"</f>
        <v xml:space="preserve"> 335.000</v>
      </c>
      <c r="BE519" t="str">
        <f t="shared" si="472"/>
        <v xml:space="preserve"> 103.000</v>
      </c>
      <c r="BF519" t="str">
        <f>"   0.006"</f>
        <v xml:space="preserve">   0.006</v>
      </c>
      <c r="BG519" t="str">
        <f>"   2.600"</f>
        <v xml:space="preserve">   2.600</v>
      </c>
      <c r="BH519" t="str">
        <f t="shared" si="448"/>
        <v>しない</v>
      </c>
      <c r="BI519" t="str">
        <f>""</f>
        <v/>
      </c>
      <c r="BJ519" t="str">
        <f>"20230101"</f>
        <v>20230101</v>
      </c>
      <c r="BK519" t="str">
        <f>"2023/01/18"</f>
        <v>2023/01/18</v>
      </c>
      <c r="BL519" t="str">
        <f t="shared" si="473"/>
        <v>NE00</v>
      </c>
      <c r="BM519" t="str">
        <f t="shared" si="474"/>
        <v>１工工務Ｇ</v>
      </c>
      <c r="BN519" t="str">
        <f>"42678"</f>
        <v>42678</v>
      </c>
      <c r="BO519" t="str">
        <f>"藤井　織花"</f>
        <v>藤井　織花</v>
      </c>
    </row>
    <row r="520" spans="1:67">
      <c r="A520" t="s">
        <v>601</v>
      </c>
      <c r="B520" t="str">
        <f>""</f>
        <v/>
      </c>
      <c r="C520" t="str">
        <f>""</f>
        <v/>
      </c>
      <c r="D520" t="s">
        <v>94</v>
      </c>
      <c r="E520" t="str">
        <f t="shared" si="462"/>
        <v>1Y</v>
      </c>
      <c r="F520" t="str">
        <f t="shared" si="463"/>
        <v>第１工場</v>
      </c>
      <c r="G520" t="str">
        <f t="shared" ref="G520:G557" si="475">"直送"</f>
        <v>直送</v>
      </c>
      <c r="H520" t="str">
        <f t="shared" si="465"/>
        <v>Ｐ</v>
      </c>
      <c r="I520" t="str">
        <f>"3008"</f>
        <v>3008</v>
      </c>
      <c r="J520" t="str">
        <f>"ダイキャスト東和産業（株）"</f>
        <v>ダイキャスト東和産業（株）</v>
      </c>
      <c r="K520" t="str">
        <f t="shared" si="455"/>
        <v>01</v>
      </c>
      <c r="L520" t="str">
        <f>""</f>
        <v/>
      </c>
      <c r="M520" t="str">
        <f t="shared" si="449"/>
        <v>――</v>
      </c>
      <c r="N520" t="str">
        <f t="shared" si="449"/>
        <v>――</v>
      </c>
      <c r="O520" t="str">
        <f t="shared" ref="O520:O557" si="476">"Ｐ"</f>
        <v>Ｐ</v>
      </c>
      <c r="P520" t="str">
        <f>"0038"</f>
        <v>0038</v>
      </c>
      <c r="Q520" t="str">
        <f>"（株）旭工業所"</f>
        <v>（株）旭工業所</v>
      </c>
      <c r="R520" t="str">
        <f>"01"</f>
        <v>01</v>
      </c>
      <c r="S520" t="str">
        <f>"本社工場"</f>
        <v>本社工場</v>
      </c>
      <c r="T520" t="str">
        <f t="shared" si="471"/>
        <v>直接</v>
      </c>
      <c r="U520" t="str">
        <f>""</f>
        <v/>
      </c>
      <c r="V520" t="str">
        <f>""</f>
        <v/>
      </c>
      <c r="W520" t="str">
        <f>""</f>
        <v/>
      </c>
      <c r="X520">
        <v>1</v>
      </c>
      <c r="Y520">
        <v>1</v>
      </c>
      <c r="Z520">
        <v>1</v>
      </c>
      <c r="AA520">
        <v>1.25</v>
      </c>
      <c r="AB520">
        <v>3</v>
      </c>
      <c r="AC520">
        <v>1.25</v>
      </c>
      <c r="AD520">
        <v>1.25</v>
      </c>
      <c r="AE520">
        <v>1.1000000000000001</v>
      </c>
      <c r="AF520">
        <v>0.5</v>
      </c>
      <c r="AG520" t="str">
        <f>"032"</f>
        <v>032</v>
      </c>
      <c r="AH520" t="str">
        <f>"ダイキャスト東和産業（株）"</f>
        <v>ダイキャスト東和産業（株）</v>
      </c>
      <c r="AI520" t="str">
        <f>"001"</f>
        <v>001</v>
      </c>
      <c r="AJ520" t="str">
        <f>"CHOKUSOU"</f>
        <v>CHOKUSOU</v>
      </c>
      <c r="AK520" t="str">
        <f>""</f>
        <v/>
      </c>
      <c r="AL520" t="str">
        <f>"9187"</f>
        <v>9187</v>
      </c>
      <c r="AM520" t="s">
        <v>95</v>
      </c>
      <c r="AN520" t="str">
        <f>"001"</f>
        <v>001</v>
      </c>
      <c r="AO520" t="str">
        <f>"ﾎﾟﾘﾊﾞｺ ﾊﾝﾖｳ"</f>
        <v>ﾎﾟﾘﾊﾞｺ ﾊﾝﾖｳ</v>
      </c>
      <c r="AP520">
        <v>200</v>
      </c>
      <c r="AQ520" t="str">
        <f>""</f>
        <v/>
      </c>
      <c r="AR520" t="str">
        <f>""</f>
        <v/>
      </c>
      <c r="AS520" t="str">
        <f>""</f>
        <v/>
      </c>
      <c r="AT520" t="str">
        <f t="shared" si="461"/>
        <v>00</v>
      </c>
      <c r="AU520">
        <v>0.5</v>
      </c>
      <c r="AV520" t="str">
        <f>""</f>
        <v/>
      </c>
      <c r="AW520" t="str">
        <f>""</f>
        <v/>
      </c>
      <c r="AX520" t="str">
        <f>""</f>
        <v/>
      </c>
      <c r="AY520" t="str">
        <f>""</f>
        <v/>
      </c>
      <c r="AZ520" t="str">
        <f>""</f>
        <v/>
      </c>
      <c r="BA520" t="str">
        <f>""</f>
        <v/>
      </c>
      <c r="BB520" t="str">
        <f>""</f>
        <v/>
      </c>
      <c r="BC520" t="str">
        <f t="shared" ref="BC520:BG521" si="477">"   0.000"</f>
        <v xml:space="preserve">   0.000</v>
      </c>
      <c r="BD520" t="str">
        <f t="shared" si="477"/>
        <v xml:space="preserve">   0.000</v>
      </c>
      <c r="BE520" t="str">
        <f t="shared" si="477"/>
        <v xml:space="preserve">   0.000</v>
      </c>
      <c r="BF520" t="str">
        <f t="shared" si="477"/>
        <v xml:space="preserve">   0.000</v>
      </c>
      <c r="BG520" t="str">
        <f t="shared" si="477"/>
        <v xml:space="preserve">   0.000</v>
      </c>
      <c r="BH520" t="str">
        <f t="shared" si="448"/>
        <v>しない</v>
      </c>
      <c r="BI520" t="str">
        <f>""</f>
        <v/>
      </c>
      <c r="BJ520" t="str">
        <f t="shared" ref="BJ520:BJ556" si="478">"MASTER01"</f>
        <v>MASTER01</v>
      </c>
      <c r="BK520" t="str">
        <f>"2022/01/27"</f>
        <v>2022/01/27</v>
      </c>
      <c r="BL520" t="str">
        <f t="shared" si="473"/>
        <v>NE00</v>
      </c>
      <c r="BM520" t="str">
        <f t="shared" si="474"/>
        <v>１工工務Ｇ</v>
      </c>
      <c r="BN520" t="str">
        <f>"39091"</f>
        <v>39091</v>
      </c>
      <c r="BO520" t="str">
        <f>"佐竹　良太"</f>
        <v>佐竹　良太</v>
      </c>
    </row>
    <row r="521" spans="1:67">
      <c r="A521" t="s">
        <v>601</v>
      </c>
      <c r="B521" t="str">
        <f>""</f>
        <v/>
      </c>
      <c r="C521" t="str">
        <f>""</f>
        <v/>
      </c>
      <c r="D521" t="s">
        <v>94</v>
      </c>
      <c r="E521" t="str">
        <f t="shared" si="462"/>
        <v>1Y</v>
      </c>
      <c r="F521" t="str">
        <f t="shared" si="463"/>
        <v>第１工場</v>
      </c>
      <c r="G521" t="str">
        <f t="shared" si="475"/>
        <v>直送</v>
      </c>
      <c r="H521" t="str">
        <f t="shared" si="465"/>
        <v>Ｐ</v>
      </c>
      <c r="I521" t="str">
        <f>"3008"</f>
        <v>3008</v>
      </c>
      <c r="J521" t="str">
        <f>"ダイキャスト東和産業（株）"</f>
        <v>ダイキャスト東和産業（株）</v>
      </c>
      <c r="K521" t="str">
        <f t="shared" si="455"/>
        <v>01</v>
      </c>
      <c r="L521" t="str">
        <f>""</f>
        <v/>
      </c>
      <c r="M521" t="str">
        <f t="shared" si="449"/>
        <v>――</v>
      </c>
      <c r="N521" t="str">
        <f t="shared" si="449"/>
        <v>――</v>
      </c>
      <c r="O521" t="str">
        <f t="shared" si="476"/>
        <v>Ｐ</v>
      </c>
      <c r="P521" t="str">
        <f>"0038"</f>
        <v>0038</v>
      </c>
      <c r="Q521" t="str">
        <f>"（株）旭工業所"</f>
        <v>（株）旭工業所</v>
      </c>
      <c r="R521" t="str">
        <f>"02"</f>
        <v>02</v>
      </c>
      <c r="S521" t="str">
        <f>"丸共通運"</f>
        <v>丸共通運</v>
      </c>
      <c r="T521" t="str">
        <f t="shared" si="471"/>
        <v>直接</v>
      </c>
      <c r="U521" t="str">
        <f>""</f>
        <v/>
      </c>
      <c r="V521" t="str">
        <f>""</f>
        <v/>
      </c>
      <c r="W521" t="str">
        <f>""</f>
        <v/>
      </c>
      <c r="X521">
        <v>1</v>
      </c>
      <c r="Y521">
        <v>1</v>
      </c>
      <c r="Z521">
        <v>1</v>
      </c>
      <c r="AA521">
        <v>1.25</v>
      </c>
      <c r="AB521">
        <v>3</v>
      </c>
      <c r="AC521">
        <v>1.25</v>
      </c>
      <c r="AD521">
        <v>1.25</v>
      </c>
      <c r="AE521">
        <v>1.1000000000000001</v>
      </c>
      <c r="AF521">
        <v>0.5</v>
      </c>
      <c r="AG521" t="str">
        <f>"032"</f>
        <v>032</v>
      </c>
      <c r="AH521" t="str">
        <f>"ダイキャスト東和産業（株）"</f>
        <v>ダイキャスト東和産業（株）</v>
      </c>
      <c r="AI521" t="str">
        <f>"001"</f>
        <v>001</v>
      </c>
      <c r="AJ521" t="str">
        <f>"CHOKUSOU"</f>
        <v>CHOKUSOU</v>
      </c>
      <c r="AK521" t="str">
        <f>""</f>
        <v/>
      </c>
      <c r="AL521" t="str">
        <f>"9187"</f>
        <v>9187</v>
      </c>
      <c r="AM521" t="s">
        <v>95</v>
      </c>
      <c r="AN521" t="str">
        <f>"001"</f>
        <v>001</v>
      </c>
      <c r="AO521" t="str">
        <f>"ﾎﾟﾘﾊﾞｺ ﾊﾝﾖｳ"</f>
        <v>ﾎﾟﾘﾊﾞｺ ﾊﾝﾖｳ</v>
      </c>
      <c r="AP521">
        <v>200</v>
      </c>
      <c r="AQ521" t="str">
        <f>""</f>
        <v/>
      </c>
      <c r="AR521" t="str">
        <f>""</f>
        <v/>
      </c>
      <c r="AS521" t="str">
        <f>""</f>
        <v/>
      </c>
      <c r="AT521" t="str">
        <f t="shared" si="461"/>
        <v>00</v>
      </c>
      <c r="AU521">
        <v>0.5</v>
      </c>
      <c r="AV521" t="str">
        <f>""</f>
        <v/>
      </c>
      <c r="AW521" t="str">
        <f>""</f>
        <v/>
      </c>
      <c r="AX521" t="str">
        <f>""</f>
        <v/>
      </c>
      <c r="AY521" t="str">
        <f>""</f>
        <v/>
      </c>
      <c r="AZ521" t="str">
        <f>""</f>
        <v/>
      </c>
      <c r="BA521" t="str">
        <f>""</f>
        <v/>
      </c>
      <c r="BB521" t="str">
        <f>""</f>
        <v/>
      </c>
      <c r="BC521" t="str">
        <f t="shared" si="477"/>
        <v xml:space="preserve">   0.000</v>
      </c>
      <c r="BD521" t="str">
        <f t="shared" si="477"/>
        <v xml:space="preserve">   0.000</v>
      </c>
      <c r="BE521" t="str">
        <f t="shared" si="477"/>
        <v xml:space="preserve">   0.000</v>
      </c>
      <c r="BF521" t="str">
        <f t="shared" si="477"/>
        <v xml:space="preserve">   0.000</v>
      </c>
      <c r="BG521" t="str">
        <f t="shared" si="477"/>
        <v xml:space="preserve">   0.000</v>
      </c>
      <c r="BH521" t="str">
        <f t="shared" si="448"/>
        <v>しない</v>
      </c>
      <c r="BI521" t="str">
        <f>""</f>
        <v/>
      </c>
      <c r="BJ521" t="str">
        <f t="shared" si="478"/>
        <v>MASTER01</v>
      </c>
      <c r="BK521" t="str">
        <f>"2022/01/27"</f>
        <v>2022/01/27</v>
      </c>
      <c r="BL521" t="str">
        <f t="shared" si="473"/>
        <v>NE00</v>
      </c>
      <c r="BM521" t="str">
        <f t="shared" si="474"/>
        <v>１工工務Ｇ</v>
      </c>
      <c r="BN521" t="str">
        <f>"39091"</f>
        <v>39091</v>
      </c>
      <c r="BO521" t="str">
        <f>"佐竹　良太"</f>
        <v>佐竹　良太</v>
      </c>
    </row>
    <row r="522" spans="1:67">
      <c r="A522" t="s">
        <v>602</v>
      </c>
      <c r="B522" t="str">
        <f>""</f>
        <v/>
      </c>
      <c r="C522" t="str">
        <f>""</f>
        <v/>
      </c>
      <c r="D522" t="s">
        <v>96</v>
      </c>
      <c r="E522" t="str">
        <f t="shared" si="462"/>
        <v>1Y</v>
      </c>
      <c r="F522" t="str">
        <f t="shared" si="463"/>
        <v>第１工場</v>
      </c>
      <c r="G522" t="str">
        <f t="shared" si="475"/>
        <v>直送</v>
      </c>
      <c r="H522" t="str">
        <f t="shared" si="465"/>
        <v>Ｐ</v>
      </c>
      <c r="I522" t="str">
        <f>"3008"</f>
        <v>3008</v>
      </c>
      <c r="J522" t="str">
        <f>"ダイキャスト東和産業（株）"</f>
        <v>ダイキャスト東和産業（株）</v>
      </c>
      <c r="K522" t="str">
        <f t="shared" si="455"/>
        <v>01</v>
      </c>
      <c r="L522" t="str">
        <f>""</f>
        <v/>
      </c>
      <c r="M522" t="str">
        <f t="shared" si="449"/>
        <v>――</v>
      </c>
      <c r="N522" t="str">
        <f t="shared" si="449"/>
        <v>――</v>
      </c>
      <c r="O522" t="str">
        <f t="shared" si="476"/>
        <v>Ｐ</v>
      </c>
      <c r="P522" t="str">
        <f>"0038"</f>
        <v>0038</v>
      </c>
      <c r="Q522" t="str">
        <f>"（株）旭工業所"</f>
        <v>（株）旭工業所</v>
      </c>
      <c r="R522" t="str">
        <f t="shared" ref="R522:R527" si="479">"01"</f>
        <v>01</v>
      </c>
      <c r="S522" t="str">
        <f>"本社工場"</f>
        <v>本社工場</v>
      </c>
      <c r="T522" t="str">
        <f t="shared" si="471"/>
        <v>直接</v>
      </c>
      <c r="U522" t="str">
        <f>""</f>
        <v/>
      </c>
      <c r="V522" t="str">
        <f>""</f>
        <v/>
      </c>
      <c r="W522" t="str">
        <f>""</f>
        <v/>
      </c>
      <c r="X522">
        <v>1</v>
      </c>
      <c r="Y522">
        <v>1</v>
      </c>
      <c r="Z522">
        <v>2</v>
      </c>
      <c r="AA522">
        <v>0</v>
      </c>
      <c r="AB522">
        <v>0</v>
      </c>
      <c r="AC522">
        <v>0</v>
      </c>
      <c r="AD522">
        <v>0</v>
      </c>
      <c r="AE522">
        <v>1.2</v>
      </c>
      <c r="AF522">
        <v>0.5</v>
      </c>
      <c r="AG522" t="str">
        <f>"032"</f>
        <v>032</v>
      </c>
      <c r="AH522" t="str">
        <f>"ダイキャスト東和産業（株）"</f>
        <v>ダイキャスト東和産業（株）</v>
      </c>
      <c r="AI522" t="str">
        <f>"002"</f>
        <v>002</v>
      </c>
      <c r="AJ522" t="str">
        <f>"CHOKUSO"</f>
        <v>CHOKUSO</v>
      </c>
      <c r="AK522" t="str">
        <f>""</f>
        <v/>
      </c>
      <c r="AL522" t="str">
        <f>"0136"</f>
        <v>0136</v>
      </c>
      <c r="AM522" t="s">
        <v>97</v>
      </c>
      <c r="AN522" t="str">
        <f>"004"</f>
        <v>004</v>
      </c>
      <c r="AO522" t="str">
        <f>"Bﾊﾟﾚ ﾊﾝﾖｳ"</f>
        <v>Bﾊﾟﾚ ﾊﾝﾖｳ</v>
      </c>
      <c r="AP522">
        <v>700</v>
      </c>
      <c r="AQ522" t="str">
        <f>""</f>
        <v/>
      </c>
      <c r="AR522" t="str">
        <f>""</f>
        <v/>
      </c>
      <c r="AS522" t="str">
        <f>""</f>
        <v/>
      </c>
      <c r="AT522" t="str">
        <f t="shared" si="461"/>
        <v>00</v>
      </c>
      <c r="AU522">
        <v>0.5</v>
      </c>
      <c r="AV522" t="str">
        <f>""</f>
        <v/>
      </c>
      <c r="AW522" t="str">
        <f>""</f>
        <v/>
      </c>
      <c r="AX522" t="str">
        <f>""</f>
        <v/>
      </c>
      <c r="AY522" t="str">
        <f>""</f>
        <v/>
      </c>
      <c r="AZ522" t="str">
        <f>""</f>
        <v/>
      </c>
      <c r="BA522" t="str">
        <f>""</f>
        <v/>
      </c>
      <c r="BB522" t="str">
        <f>""</f>
        <v/>
      </c>
      <c r="BC522" t="str">
        <f>" 800.000"</f>
        <v xml:space="preserve"> 800.000</v>
      </c>
      <c r="BD522" t="str">
        <f>" 400.000"</f>
        <v xml:space="preserve"> 400.000</v>
      </c>
      <c r="BE522" t="str">
        <f>" 500.000"</f>
        <v xml:space="preserve"> 500.000</v>
      </c>
      <c r="BF522" t="str">
        <f>"   0.160"</f>
        <v xml:space="preserve">   0.160</v>
      </c>
      <c r="BG522" t="str">
        <f>" 109.810"</f>
        <v xml:space="preserve"> 109.810</v>
      </c>
      <c r="BH522" t="str">
        <f t="shared" si="448"/>
        <v>しない</v>
      </c>
      <c r="BI522" t="str">
        <f>""</f>
        <v/>
      </c>
      <c r="BJ522" t="str">
        <f t="shared" si="478"/>
        <v>MASTER01</v>
      </c>
      <c r="BK522" t="str">
        <f>"2023/01/17"</f>
        <v>2023/01/17</v>
      </c>
      <c r="BL522" t="str">
        <f t="shared" si="473"/>
        <v>NE00</v>
      </c>
      <c r="BM522" t="str">
        <f t="shared" si="474"/>
        <v>１工工務Ｇ</v>
      </c>
      <c r="BN522" t="str">
        <f>"46548"</f>
        <v>46548</v>
      </c>
      <c r="BO522" t="str">
        <f>"長畑　玲奈"</f>
        <v>長畑　玲奈</v>
      </c>
    </row>
    <row r="523" spans="1:67">
      <c r="A523" t="s">
        <v>603</v>
      </c>
      <c r="B523" t="str">
        <f>""</f>
        <v/>
      </c>
      <c r="C523" t="str">
        <f>""</f>
        <v/>
      </c>
      <c r="D523" t="s">
        <v>98</v>
      </c>
      <c r="E523" t="str">
        <f t="shared" si="462"/>
        <v>1Y</v>
      </c>
      <c r="F523" t="str">
        <f t="shared" si="463"/>
        <v>第１工場</v>
      </c>
      <c r="G523" t="str">
        <f t="shared" si="475"/>
        <v>直送</v>
      </c>
      <c r="H523" t="str">
        <f t="shared" si="465"/>
        <v>Ｐ</v>
      </c>
      <c r="I523" t="str">
        <f>"1821"</f>
        <v>1821</v>
      </c>
      <c r="J523" t="str">
        <f>"五興商事（株）"</f>
        <v>五興商事（株）</v>
      </c>
      <c r="K523" t="str">
        <f t="shared" si="455"/>
        <v>01</v>
      </c>
      <c r="L523" t="str">
        <f>""</f>
        <v/>
      </c>
      <c r="M523" t="str">
        <f t="shared" si="449"/>
        <v>――</v>
      </c>
      <c r="N523" t="str">
        <f t="shared" si="449"/>
        <v>――</v>
      </c>
      <c r="O523" t="str">
        <f t="shared" si="476"/>
        <v>Ｐ</v>
      </c>
      <c r="P523" t="str">
        <f>"0810"</f>
        <v>0810</v>
      </c>
      <c r="Q523" t="str">
        <f>"（株）オーハシテクニカ"</f>
        <v>（株）オーハシテクニカ</v>
      </c>
      <c r="R523" t="str">
        <f t="shared" si="479"/>
        <v>01</v>
      </c>
      <c r="S523" t="str">
        <f>""</f>
        <v/>
      </c>
      <c r="T523" t="str">
        <f t="shared" si="471"/>
        <v>直接</v>
      </c>
      <c r="U523" t="str">
        <f>""</f>
        <v/>
      </c>
      <c r="V523" t="str">
        <f>""</f>
        <v/>
      </c>
      <c r="W523" t="str">
        <f>""</f>
        <v/>
      </c>
      <c r="X523">
        <v>1</v>
      </c>
      <c r="Y523">
        <v>1</v>
      </c>
      <c r="Z523">
        <v>1</v>
      </c>
      <c r="AA523">
        <v>1.25</v>
      </c>
      <c r="AB523">
        <v>3</v>
      </c>
      <c r="AC523">
        <v>1.25</v>
      </c>
      <c r="AD523">
        <v>1.25</v>
      </c>
      <c r="AE523">
        <v>1.1000000000000001</v>
      </c>
      <c r="AF523">
        <v>0.5</v>
      </c>
      <c r="AG523" t="str">
        <f>"082"</f>
        <v>082</v>
      </c>
      <c r="AH523" t="str">
        <f>"五興商事（株）"</f>
        <v>五興商事（株）</v>
      </c>
      <c r="AI523" t="str">
        <f>"002"</f>
        <v>002</v>
      </c>
      <c r="AJ523" t="str">
        <f t="shared" ref="AJ523:AJ557" si="480">"CHOKUSOU"</f>
        <v>CHOKUSOU</v>
      </c>
      <c r="AK523" t="str">
        <f>""</f>
        <v/>
      </c>
      <c r="AL523" t="str">
        <f>"1106"</f>
        <v>1106</v>
      </c>
      <c r="AM523" t="s">
        <v>99</v>
      </c>
      <c r="AN523" t="str">
        <f>"014"</f>
        <v>014</v>
      </c>
      <c r="AO523" t="str">
        <f>"TP-331 ﾊﾝﾖｳ"</f>
        <v>TP-331 ﾊﾝﾖｳ</v>
      </c>
      <c r="AP523">
        <v>704</v>
      </c>
      <c r="AQ523" t="str">
        <f>""</f>
        <v/>
      </c>
      <c r="AR523" t="str">
        <f>""</f>
        <v/>
      </c>
      <c r="AS523" t="str">
        <f>""</f>
        <v/>
      </c>
      <c r="AT523" t="str">
        <f t="shared" si="461"/>
        <v>00</v>
      </c>
      <c r="AU523">
        <v>0.5</v>
      </c>
      <c r="AV523" t="str">
        <f>""</f>
        <v/>
      </c>
      <c r="AW523" t="str">
        <f>""</f>
        <v/>
      </c>
      <c r="AX523" t="str">
        <f>""</f>
        <v/>
      </c>
      <c r="AY523" t="str">
        <f>""</f>
        <v/>
      </c>
      <c r="AZ523" t="str">
        <f>""</f>
        <v/>
      </c>
      <c r="BA523" t="str">
        <f>""</f>
        <v/>
      </c>
      <c r="BB523" t="str">
        <f>""</f>
        <v/>
      </c>
      <c r="BC523" t="str">
        <f t="shared" ref="BC523:BG524" si="481">"   0.000"</f>
        <v xml:space="preserve">   0.000</v>
      </c>
      <c r="BD523" t="str">
        <f t="shared" si="481"/>
        <v xml:space="preserve">   0.000</v>
      </c>
      <c r="BE523" t="str">
        <f t="shared" si="481"/>
        <v xml:space="preserve">   0.000</v>
      </c>
      <c r="BF523" t="str">
        <f t="shared" si="481"/>
        <v xml:space="preserve">   0.000</v>
      </c>
      <c r="BG523" t="str">
        <f t="shared" si="481"/>
        <v xml:space="preserve">   0.000</v>
      </c>
      <c r="BH523" t="str">
        <f t="shared" si="448"/>
        <v>しない</v>
      </c>
      <c r="BI523" t="str">
        <f>""</f>
        <v/>
      </c>
      <c r="BJ523" t="str">
        <f t="shared" si="478"/>
        <v>MASTER01</v>
      </c>
      <c r="BK523" t="str">
        <f>"2022/01/27"</f>
        <v>2022/01/27</v>
      </c>
      <c r="BL523" t="str">
        <f t="shared" si="473"/>
        <v>NE00</v>
      </c>
      <c r="BM523" t="str">
        <f t="shared" si="474"/>
        <v>１工工務Ｇ</v>
      </c>
      <c r="BN523" t="str">
        <f>"39091"</f>
        <v>39091</v>
      </c>
      <c r="BO523" t="str">
        <f>"佐竹　良太"</f>
        <v>佐竹　良太</v>
      </c>
    </row>
    <row r="524" spans="1:67">
      <c r="A524" t="s">
        <v>604</v>
      </c>
      <c r="B524" t="str">
        <f>""</f>
        <v/>
      </c>
      <c r="C524" t="str">
        <f>""</f>
        <v/>
      </c>
      <c r="D524" t="s">
        <v>100</v>
      </c>
      <c r="E524" t="str">
        <f t="shared" si="462"/>
        <v>1Y</v>
      </c>
      <c r="F524" t="str">
        <f t="shared" si="463"/>
        <v>第１工場</v>
      </c>
      <c r="G524" t="str">
        <f t="shared" si="475"/>
        <v>直送</v>
      </c>
      <c r="H524" t="str">
        <f t="shared" si="465"/>
        <v>Ｐ</v>
      </c>
      <c r="I524" t="str">
        <f>"3836"</f>
        <v>3836</v>
      </c>
      <c r="J524" t="str">
        <f>"（株）東郷製作所"</f>
        <v>（株）東郷製作所</v>
      </c>
      <c r="K524" t="str">
        <f t="shared" si="455"/>
        <v>01</v>
      </c>
      <c r="L524" t="str">
        <f>""</f>
        <v/>
      </c>
      <c r="M524" t="str">
        <f t="shared" si="449"/>
        <v>――</v>
      </c>
      <c r="N524" t="str">
        <f t="shared" si="449"/>
        <v>――</v>
      </c>
      <c r="O524" t="str">
        <f t="shared" si="476"/>
        <v>Ｐ</v>
      </c>
      <c r="P524" t="str">
        <f>"0816"</f>
        <v>0816</v>
      </c>
      <c r="Q524" t="str">
        <f>"大橋鉄工（株）"</f>
        <v>大橋鉄工（株）</v>
      </c>
      <c r="R524" t="str">
        <f t="shared" si="479"/>
        <v>01</v>
      </c>
      <c r="S524" t="str">
        <f>""</f>
        <v/>
      </c>
      <c r="T524" t="str">
        <f t="shared" si="471"/>
        <v>直接</v>
      </c>
      <c r="U524" t="str">
        <f>""</f>
        <v/>
      </c>
      <c r="V524" t="str">
        <f>""</f>
        <v/>
      </c>
      <c r="W524" t="str">
        <f>""</f>
        <v/>
      </c>
      <c r="X524">
        <v>1</v>
      </c>
      <c r="Y524">
        <v>1</v>
      </c>
      <c r="Z524">
        <v>1</v>
      </c>
      <c r="AA524">
        <v>1.25</v>
      </c>
      <c r="AB524">
        <v>3</v>
      </c>
      <c r="AC524">
        <v>1.25</v>
      </c>
      <c r="AD524">
        <v>1.25</v>
      </c>
      <c r="AE524">
        <v>1.1000000000000001</v>
      </c>
      <c r="AF524">
        <v>0.5</v>
      </c>
      <c r="AG524" t="str">
        <f>"041"</f>
        <v>041</v>
      </c>
      <c r="AH524" t="str">
        <f>"（株）東郷製作所"</f>
        <v>（株）東郷製作所</v>
      </c>
      <c r="AI524" t="str">
        <f>"003"</f>
        <v>003</v>
      </c>
      <c r="AJ524" t="str">
        <f t="shared" si="480"/>
        <v>CHOKUSOU</v>
      </c>
      <c r="AK524" t="str">
        <f>""</f>
        <v/>
      </c>
      <c r="AL524" t="str">
        <f>"1561"</f>
        <v>1561</v>
      </c>
      <c r="AM524" t="str">
        <f>"ｽﾌﾟﾘﾝｸﾞ ｺﾝﾌﾟﾚﾂｼﾖﾝ"</f>
        <v>ｽﾌﾟﾘﾝｸﾞ ｺﾝﾌﾟﾚﾂｼﾖﾝ</v>
      </c>
      <c r="AN524" t="str">
        <f>"052"</f>
        <v>052</v>
      </c>
      <c r="AO524" t="str">
        <f>"AW-131 ﾊﾝﾖｳ"</f>
        <v>AW-131 ﾊﾝﾖｳ</v>
      </c>
      <c r="AP524">
        <v>250</v>
      </c>
      <c r="AQ524" t="str">
        <f>""</f>
        <v/>
      </c>
      <c r="AR524" t="str">
        <f>""</f>
        <v/>
      </c>
      <c r="AS524" t="str">
        <f>""</f>
        <v/>
      </c>
      <c r="AT524" t="str">
        <f t="shared" si="461"/>
        <v>00</v>
      </c>
      <c r="AU524">
        <v>0.5</v>
      </c>
      <c r="AV524" t="str">
        <f>""</f>
        <v/>
      </c>
      <c r="AW524" t="str">
        <f>""</f>
        <v/>
      </c>
      <c r="AX524" t="str">
        <f>""</f>
        <v/>
      </c>
      <c r="AY524" t="str">
        <f>""</f>
        <v/>
      </c>
      <c r="AZ524" t="str">
        <f>""</f>
        <v/>
      </c>
      <c r="BA524" t="str">
        <f>""</f>
        <v/>
      </c>
      <c r="BB524" t="str">
        <f>""</f>
        <v/>
      </c>
      <c r="BC524" t="str">
        <f t="shared" si="481"/>
        <v xml:space="preserve">   0.000</v>
      </c>
      <c r="BD524" t="str">
        <f t="shared" si="481"/>
        <v xml:space="preserve">   0.000</v>
      </c>
      <c r="BE524" t="str">
        <f t="shared" si="481"/>
        <v xml:space="preserve">   0.000</v>
      </c>
      <c r="BF524" t="str">
        <f t="shared" si="481"/>
        <v xml:space="preserve">   0.000</v>
      </c>
      <c r="BG524" t="str">
        <f t="shared" si="481"/>
        <v xml:space="preserve">   0.000</v>
      </c>
      <c r="BH524" t="str">
        <f t="shared" si="448"/>
        <v>しない</v>
      </c>
      <c r="BI524" t="str">
        <f>""</f>
        <v/>
      </c>
      <c r="BJ524" t="str">
        <f t="shared" si="478"/>
        <v>MASTER01</v>
      </c>
      <c r="BK524" t="str">
        <f>"2022/01/27"</f>
        <v>2022/01/27</v>
      </c>
      <c r="BL524" t="str">
        <f t="shared" si="473"/>
        <v>NE00</v>
      </c>
      <c r="BM524" t="str">
        <f t="shared" si="474"/>
        <v>１工工務Ｇ</v>
      </c>
      <c r="BN524" t="str">
        <f>"39091"</f>
        <v>39091</v>
      </c>
      <c r="BO524" t="str">
        <f>"佐竹　良太"</f>
        <v>佐竹　良太</v>
      </c>
    </row>
    <row r="525" spans="1:67">
      <c r="A525" t="s">
        <v>605</v>
      </c>
      <c r="B525" t="str">
        <f>""</f>
        <v/>
      </c>
      <c r="C525" t="str">
        <f>""</f>
        <v/>
      </c>
      <c r="D525" t="s">
        <v>100</v>
      </c>
      <c r="E525" t="str">
        <f t="shared" si="462"/>
        <v>1Y</v>
      </c>
      <c r="F525" t="str">
        <f t="shared" si="463"/>
        <v>第１工場</v>
      </c>
      <c r="G525" t="str">
        <f t="shared" si="475"/>
        <v>直送</v>
      </c>
      <c r="H525" t="str">
        <f t="shared" si="465"/>
        <v>Ｐ</v>
      </c>
      <c r="I525" t="str">
        <f>"3836"</f>
        <v>3836</v>
      </c>
      <c r="J525" t="str">
        <f>"（株）東郷製作所"</f>
        <v>（株）東郷製作所</v>
      </c>
      <c r="K525" t="str">
        <f t="shared" si="455"/>
        <v>01</v>
      </c>
      <c r="L525" t="str">
        <f>""</f>
        <v/>
      </c>
      <c r="M525" t="str">
        <f t="shared" si="449"/>
        <v>――</v>
      </c>
      <c r="N525" t="str">
        <f t="shared" si="449"/>
        <v>――</v>
      </c>
      <c r="O525" t="str">
        <f t="shared" si="476"/>
        <v>Ｐ</v>
      </c>
      <c r="P525" t="str">
        <f>"0816"</f>
        <v>0816</v>
      </c>
      <c r="Q525" t="str">
        <f>"大橋鉄工（株）"</f>
        <v>大橋鉄工（株）</v>
      </c>
      <c r="R525" t="str">
        <f t="shared" si="479"/>
        <v>01</v>
      </c>
      <c r="S525" t="str">
        <f>""</f>
        <v/>
      </c>
      <c r="T525" t="str">
        <f t="shared" si="471"/>
        <v>直接</v>
      </c>
      <c r="U525" t="str">
        <f>""</f>
        <v/>
      </c>
      <c r="V525" t="str">
        <f>""</f>
        <v/>
      </c>
      <c r="W525" t="str">
        <f>""</f>
        <v/>
      </c>
      <c r="X525">
        <v>1</v>
      </c>
      <c r="Y525">
        <v>1</v>
      </c>
      <c r="Z525">
        <v>1</v>
      </c>
      <c r="AA525">
        <v>1.25</v>
      </c>
      <c r="AB525">
        <v>3</v>
      </c>
      <c r="AC525">
        <v>1.25</v>
      </c>
      <c r="AD525">
        <v>1.25</v>
      </c>
      <c r="AE525">
        <v>1.1000000000000001</v>
      </c>
      <c r="AF525">
        <v>0.5</v>
      </c>
      <c r="AG525" t="str">
        <f>"041"</f>
        <v>041</v>
      </c>
      <c r="AH525" t="str">
        <f>"（株）東郷製作所"</f>
        <v>（株）東郷製作所</v>
      </c>
      <c r="AI525" t="str">
        <f>"004"</f>
        <v>004</v>
      </c>
      <c r="AJ525" t="str">
        <f t="shared" si="480"/>
        <v>CHOKUSOU</v>
      </c>
      <c r="AK525" t="str">
        <f>""</f>
        <v/>
      </c>
      <c r="AL525" t="str">
        <f>"1561"</f>
        <v>1561</v>
      </c>
      <c r="AM525" t="str">
        <f>"ｽﾌﾟﾘﾝｸﾞ ｺﾝﾌﾟﾚﾂｼﾖﾝ"</f>
        <v>ｽﾌﾟﾘﾝｸﾞ ｺﾝﾌﾟﾚﾂｼﾖﾝ</v>
      </c>
      <c r="AN525" t="str">
        <f>"052"</f>
        <v>052</v>
      </c>
      <c r="AO525" t="str">
        <f>"AW-131 ﾊﾝﾖｳ"</f>
        <v>AW-131 ﾊﾝﾖｳ</v>
      </c>
      <c r="AP525">
        <v>250</v>
      </c>
      <c r="AQ525" t="str">
        <f>""</f>
        <v/>
      </c>
      <c r="AR525" t="str">
        <f>""</f>
        <v/>
      </c>
      <c r="AS525" t="str">
        <f>""</f>
        <v/>
      </c>
      <c r="AT525" t="str">
        <f t="shared" si="461"/>
        <v>00</v>
      </c>
      <c r="AU525">
        <v>0.5</v>
      </c>
      <c r="AV525" t="str">
        <f>""</f>
        <v/>
      </c>
      <c r="AW525" t="str">
        <f>""</f>
        <v/>
      </c>
      <c r="AX525" t="str">
        <f>""</f>
        <v/>
      </c>
      <c r="AY525" t="str">
        <f>""</f>
        <v/>
      </c>
      <c r="AZ525" t="str">
        <f>""</f>
        <v/>
      </c>
      <c r="BA525" t="str">
        <f>""</f>
        <v/>
      </c>
      <c r="BB525" t="str">
        <f>""</f>
        <v/>
      </c>
      <c r="BC525" t="str">
        <f>" 335.000"</f>
        <v xml:space="preserve"> 335.000</v>
      </c>
      <c r="BD525" t="str">
        <f>" 168.000"</f>
        <v xml:space="preserve"> 168.000</v>
      </c>
      <c r="BE525" t="str">
        <f>" 103.000"</f>
        <v xml:space="preserve"> 103.000</v>
      </c>
      <c r="BF525" t="str">
        <f>"   0.006"</f>
        <v xml:space="preserve">   0.006</v>
      </c>
      <c r="BG525" t="str">
        <f>"   5.260"</f>
        <v xml:space="preserve">   5.260</v>
      </c>
      <c r="BH525" t="str">
        <f t="shared" si="448"/>
        <v>しない</v>
      </c>
      <c r="BI525" t="str">
        <f>""</f>
        <v/>
      </c>
      <c r="BJ525" t="str">
        <f t="shared" si="478"/>
        <v>MASTER01</v>
      </c>
      <c r="BK525" t="str">
        <f>"2023/01/17"</f>
        <v>2023/01/17</v>
      </c>
      <c r="BL525" t="str">
        <f t="shared" si="473"/>
        <v>NE00</v>
      </c>
      <c r="BM525" t="str">
        <f t="shared" si="474"/>
        <v>１工工務Ｇ</v>
      </c>
      <c r="BN525" t="str">
        <f>"46548"</f>
        <v>46548</v>
      </c>
      <c r="BO525" t="str">
        <f>"長畑　玲奈"</f>
        <v>長畑　玲奈</v>
      </c>
    </row>
    <row r="526" spans="1:67">
      <c r="A526" t="s">
        <v>606</v>
      </c>
      <c r="B526" t="str">
        <f>""</f>
        <v/>
      </c>
      <c r="C526" t="str">
        <f>""</f>
        <v/>
      </c>
      <c r="D526" t="s">
        <v>101</v>
      </c>
      <c r="E526" t="str">
        <f t="shared" si="462"/>
        <v>1Y</v>
      </c>
      <c r="F526" t="str">
        <f t="shared" si="463"/>
        <v>第１工場</v>
      </c>
      <c r="G526" t="str">
        <f t="shared" si="475"/>
        <v>直送</v>
      </c>
      <c r="H526" t="str">
        <f t="shared" si="465"/>
        <v>Ｐ</v>
      </c>
      <c r="I526" t="str">
        <f>"3236"</f>
        <v>3236</v>
      </c>
      <c r="J526" t="str">
        <f>"中庸スプリング（株）"</f>
        <v>中庸スプリング（株）</v>
      </c>
      <c r="K526" t="str">
        <f t="shared" si="455"/>
        <v>01</v>
      </c>
      <c r="L526" t="str">
        <f>""</f>
        <v/>
      </c>
      <c r="M526" t="str">
        <f t="shared" si="449"/>
        <v>――</v>
      </c>
      <c r="N526" t="str">
        <f t="shared" si="449"/>
        <v>――</v>
      </c>
      <c r="O526" t="str">
        <f t="shared" si="476"/>
        <v>Ｐ</v>
      </c>
      <c r="P526" t="str">
        <f>"0930"</f>
        <v>0930</v>
      </c>
      <c r="Q526" t="str">
        <f>"（株）オンド"</f>
        <v>（株）オンド</v>
      </c>
      <c r="R526" t="str">
        <f t="shared" si="479"/>
        <v>01</v>
      </c>
      <c r="S526" t="str">
        <f>"本社工場"</f>
        <v>本社工場</v>
      </c>
      <c r="T526" t="str">
        <f t="shared" si="471"/>
        <v>直接</v>
      </c>
      <c r="U526" t="str">
        <f>""</f>
        <v/>
      </c>
      <c r="V526" t="str">
        <f>""</f>
        <v/>
      </c>
      <c r="W526" t="str">
        <f>""</f>
        <v/>
      </c>
      <c r="X526">
        <v>1</v>
      </c>
      <c r="Y526">
        <v>1</v>
      </c>
      <c r="Z526">
        <v>1</v>
      </c>
      <c r="AA526">
        <v>1.25</v>
      </c>
      <c r="AB526">
        <v>3</v>
      </c>
      <c r="AC526">
        <v>1.25</v>
      </c>
      <c r="AD526">
        <v>1.25</v>
      </c>
      <c r="AE526">
        <v>1.1000000000000001</v>
      </c>
      <c r="AF526">
        <v>0.5</v>
      </c>
      <c r="AG526" t="str">
        <f>"038"</f>
        <v>038</v>
      </c>
      <c r="AH526" t="str">
        <f>"中庸スプリング（株）"</f>
        <v>中庸スプリング（株）</v>
      </c>
      <c r="AI526" t="str">
        <f>"004"</f>
        <v>004</v>
      </c>
      <c r="AJ526" t="str">
        <f t="shared" si="480"/>
        <v>CHOKUSOU</v>
      </c>
      <c r="AK526" t="str">
        <f>""</f>
        <v/>
      </c>
      <c r="AL526" t="str">
        <f>"0481"</f>
        <v>0481</v>
      </c>
      <c r="AM526" t="s">
        <v>102</v>
      </c>
      <c r="AN526" t="str">
        <f>"012"</f>
        <v>012</v>
      </c>
      <c r="AO526" t="str">
        <f>"TP-131 ﾊﾝﾖｳ"</f>
        <v>TP-131 ﾊﾝﾖｳ</v>
      </c>
      <c r="AP526">
        <v>400</v>
      </c>
      <c r="AQ526" t="str">
        <f>""</f>
        <v/>
      </c>
      <c r="AR526" t="str">
        <f>""</f>
        <v/>
      </c>
      <c r="AS526" t="str">
        <f>""</f>
        <v/>
      </c>
      <c r="AT526" t="str">
        <f t="shared" si="461"/>
        <v>00</v>
      </c>
      <c r="AU526">
        <v>0.5</v>
      </c>
      <c r="AV526" t="str">
        <f>""</f>
        <v/>
      </c>
      <c r="AW526" t="str">
        <f>""</f>
        <v/>
      </c>
      <c r="AX526" t="str">
        <f>""</f>
        <v/>
      </c>
      <c r="AY526" t="str">
        <f>""</f>
        <v/>
      </c>
      <c r="AZ526" t="str">
        <f>""</f>
        <v/>
      </c>
      <c r="BA526" t="str">
        <f>""</f>
        <v/>
      </c>
      <c r="BB526" t="str">
        <f>""</f>
        <v/>
      </c>
      <c r="BC526" t="str">
        <f t="shared" ref="BC526:BG539" si="482">"   0.000"</f>
        <v xml:space="preserve">   0.000</v>
      </c>
      <c r="BD526" t="str">
        <f t="shared" si="482"/>
        <v xml:space="preserve">   0.000</v>
      </c>
      <c r="BE526" t="str">
        <f t="shared" si="482"/>
        <v xml:space="preserve">   0.000</v>
      </c>
      <c r="BF526" t="str">
        <f t="shared" si="482"/>
        <v xml:space="preserve">   0.000</v>
      </c>
      <c r="BG526" t="str">
        <f t="shared" si="482"/>
        <v xml:space="preserve">   0.000</v>
      </c>
      <c r="BH526" t="str">
        <f t="shared" si="448"/>
        <v>しない</v>
      </c>
      <c r="BI526" t="str">
        <f>""</f>
        <v/>
      </c>
      <c r="BJ526" t="str">
        <f t="shared" si="478"/>
        <v>MASTER01</v>
      </c>
      <c r="BK526" t="str">
        <f t="shared" ref="BK526:BK539" si="483">"2022/01/27"</f>
        <v>2022/01/27</v>
      </c>
      <c r="BL526" t="str">
        <f t="shared" si="473"/>
        <v>NE00</v>
      </c>
      <c r="BM526" t="str">
        <f t="shared" si="474"/>
        <v>１工工務Ｇ</v>
      </c>
      <c r="BN526" t="str">
        <f t="shared" ref="BN526:BN539" si="484">"39091"</f>
        <v>39091</v>
      </c>
      <c r="BO526" t="str">
        <f t="shared" ref="BO526:BO539" si="485">"佐竹　良太"</f>
        <v>佐竹　良太</v>
      </c>
    </row>
    <row r="527" spans="1:67">
      <c r="A527" t="s">
        <v>607</v>
      </c>
      <c r="B527" t="str">
        <f>""</f>
        <v/>
      </c>
      <c r="C527" t="str">
        <f>""</f>
        <v/>
      </c>
      <c r="D527" t="s">
        <v>103</v>
      </c>
      <c r="E527" t="str">
        <f t="shared" si="462"/>
        <v>1Y</v>
      </c>
      <c r="F527" t="str">
        <f t="shared" si="463"/>
        <v>第１工場</v>
      </c>
      <c r="G527" t="str">
        <f t="shared" si="475"/>
        <v>直送</v>
      </c>
      <c r="H527" t="str">
        <f t="shared" si="465"/>
        <v>Ｐ</v>
      </c>
      <c r="I527" t="str">
        <f>"4228"</f>
        <v>4228</v>
      </c>
      <c r="J527" t="str">
        <f>"日昌（株）"</f>
        <v>日昌（株）</v>
      </c>
      <c r="K527" t="str">
        <f t="shared" si="455"/>
        <v>01</v>
      </c>
      <c r="L527" t="str">
        <f>"名古屋支店"</f>
        <v>名古屋支店</v>
      </c>
      <c r="M527" t="str">
        <f t="shared" si="449"/>
        <v>――</v>
      </c>
      <c r="N527" t="str">
        <f t="shared" si="449"/>
        <v>――</v>
      </c>
      <c r="O527" t="str">
        <f t="shared" si="476"/>
        <v>Ｐ</v>
      </c>
      <c r="P527" t="str">
        <f>"2017"</f>
        <v>2017</v>
      </c>
      <c r="Q527" t="str">
        <f>"佐藤工業（株）"</f>
        <v>佐藤工業（株）</v>
      </c>
      <c r="R527" t="str">
        <f t="shared" si="479"/>
        <v>01</v>
      </c>
      <c r="S527" t="str">
        <f>""</f>
        <v/>
      </c>
      <c r="T527" t="str">
        <f t="shared" si="471"/>
        <v>直接</v>
      </c>
      <c r="U527" t="str">
        <f>""</f>
        <v/>
      </c>
      <c r="V527" t="str">
        <f>""</f>
        <v/>
      </c>
      <c r="W527" t="str">
        <f>""</f>
        <v/>
      </c>
      <c r="X527">
        <v>1</v>
      </c>
      <c r="Y527">
        <v>1</v>
      </c>
      <c r="Z527">
        <v>1</v>
      </c>
      <c r="AA527">
        <v>1.25</v>
      </c>
      <c r="AB527">
        <v>3</v>
      </c>
      <c r="AC527">
        <v>1.25</v>
      </c>
      <c r="AD527">
        <v>1.25</v>
      </c>
      <c r="AE527">
        <v>1.1000000000000001</v>
      </c>
      <c r="AF527">
        <v>0.5</v>
      </c>
      <c r="AG527" t="str">
        <f>"806"</f>
        <v>806</v>
      </c>
      <c r="AH527" t="str">
        <f>"日東電工（株）"</f>
        <v>日東電工（株）</v>
      </c>
      <c r="AI527" t="str">
        <f>"001"</f>
        <v>001</v>
      </c>
      <c r="AJ527" t="str">
        <f t="shared" si="480"/>
        <v>CHOKUSOU</v>
      </c>
      <c r="AK527" t="str">
        <f>""</f>
        <v/>
      </c>
      <c r="AL527" t="str">
        <f>"9210"</f>
        <v>9210</v>
      </c>
      <c r="AM527" t="s">
        <v>104</v>
      </c>
      <c r="AN527" t="str">
        <f>"061"</f>
        <v>061</v>
      </c>
      <c r="AO527" t="str">
        <f>"TP-341 ｾﾝﾖｳ"</f>
        <v>TP-341 ｾﾝﾖｳ</v>
      </c>
      <c r="AP527">
        <v>120</v>
      </c>
      <c r="AQ527" t="str">
        <f>""</f>
        <v/>
      </c>
      <c r="AR527" t="str">
        <f>""</f>
        <v/>
      </c>
      <c r="AS527" t="str">
        <f>""</f>
        <v/>
      </c>
      <c r="AT527" t="str">
        <f t="shared" si="461"/>
        <v>00</v>
      </c>
      <c r="AU527">
        <v>0.5</v>
      </c>
      <c r="AV527" t="str">
        <f>""</f>
        <v/>
      </c>
      <c r="AW527" t="str">
        <f>""</f>
        <v/>
      </c>
      <c r="AX527" t="str">
        <f>""</f>
        <v/>
      </c>
      <c r="AY527" t="str">
        <f>""</f>
        <v/>
      </c>
      <c r="AZ527" t="str">
        <f>""</f>
        <v/>
      </c>
      <c r="BA527" t="str">
        <f>""</f>
        <v/>
      </c>
      <c r="BB527" t="str">
        <f>""</f>
        <v/>
      </c>
      <c r="BC527" t="str">
        <f t="shared" si="482"/>
        <v xml:space="preserve">   0.000</v>
      </c>
      <c r="BD527" t="str">
        <f t="shared" si="482"/>
        <v xml:space="preserve">   0.000</v>
      </c>
      <c r="BE527" t="str">
        <f t="shared" si="482"/>
        <v xml:space="preserve">   0.000</v>
      </c>
      <c r="BF527" t="str">
        <f t="shared" si="482"/>
        <v xml:space="preserve">   0.000</v>
      </c>
      <c r="BG527" t="str">
        <f t="shared" si="482"/>
        <v xml:space="preserve">   0.000</v>
      </c>
      <c r="BH527" t="str">
        <f t="shared" si="448"/>
        <v>しない</v>
      </c>
      <c r="BI527" t="str">
        <f>""</f>
        <v/>
      </c>
      <c r="BJ527" t="str">
        <f t="shared" si="478"/>
        <v>MASTER01</v>
      </c>
      <c r="BK527" t="str">
        <f t="shared" si="483"/>
        <v>2022/01/27</v>
      </c>
      <c r="BL527" t="str">
        <f t="shared" si="473"/>
        <v>NE00</v>
      </c>
      <c r="BM527" t="str">
        <f t="shared" si="474"/>
        <v>１工工務Ｇ</v>
      </c>
      <c r="BN527" t="str">
        <f t="shared" si="484"/>
        <v>39091</v>
      </c>
      <c r="BO527" t="str">
        <f t="shared" si="485"/>
        <v>佐竹　良太</v>
      </c>
    </row>
    <row r="528" spans="1:67">
      <c r="A528" t="s">
        <v>607</v>
      </c>
      <c r="B528" t="str">
        <f>""</f>
        <v/>
      </c>
      <c r="C528" t="str">
        <f>""</f>
        <v/>
      </c>
      <c r="D528" t="s">
        <v>103</v>
      </c>
      <c r="E528" t="str">
        <f t="shared" si="462"/>
        <v>1Y</v>
      </c>
      <c r="F528" t="str">
        <f t="shared" si="463"/>
        <v>第１工場</v>
      </c>
      <c r="G528" t="str">
        <f t="shared" si="475"/>
        <v>直送</v>
      </c>
      <c r="H528" t="str">
        <f t="shared" si="465"/>
        <v>Ｐ</v>
      </c>
      <c r="I528" t="str">
        <f>"4228"</f>
        <v>4228</v>
      </c>
      <c r="J528" t="str">
        <f>"日昌（株）"</f>
        <v>日昌（株）</v>
      </c>
      <c r="K528" t="str">
        <f t="shared" si="455"/>
        <v>01</v>
      </c>
      <c r="L528" t="str">
        <f>"名古屋支店"</f>
        <v>名古屋支店</v>
      </c>
      <c r="M528" t="str">
        <f t="shared" si="449"/>
        <v>――</v>
      </c>
      <c r="N528" t="str">
        <f t="shared" si="449"/>
        <v>――</v>
      </c>
      <c r="O528" t="str">
        <f t="shared" si="476"/>
        <v>Ｐ</v>
      </c>
      <c r="P528" t="str">
        <f>"2017"</f>
        <v>2017</v>
      </c>
      <c r="Q528" t="str">
        <f>"佐藤工業（株）"</f>
        <v>佐藤工業（株）</v>
      </c>
      <c r="R528" t="str">
        <f>"03"</f>
        <v>03</v>
      </c>
      <c r="S528" t="str">
        <f>"藤塗装"</f>
        <v>藤塗装</v>
      </c>
      <c r="T528" t="str">
        <f t="shared" si="471"/>
        <v>直接</v>
      </c>
      <c r="U528" t="str">
        <f>""</f>
        <v/>
      </c>
      <c r="V528" t="str">
        <f>""</f>
        <v/>
      </c>
      <c r="W528" t="str">
        <f>""</f>
        <v/>
      </c>
      <c r="X528">
        <v>1</v>
      </c>
      <c r="Y528">
        <v>1</v>
      </c>
      <c r="Z528">
        <v>1</v>
      </c>
      <c r="AA528">
        <v>1.25</v>
      </c>
      <c r="AB528">
        <v>3</v>
      </c>
      <c r="AC528">
        <v>1.25</v>
      </c>
      <c r="AD528">
        <v>1.25</v>
      </c>
      <c r="AE528">
        <v>1.1000000000000001</v>
      </c>
      <c r="AF528">
        <v>0.5</v>
      </c>
      <c r="AG528" t="str">
        <f>"806"</f>
        <v>806</v>
      </c>
      <c r="AH528" t="str">
        <f>"日東電工（株）"</f>
        <v>日東電工（株）</v>
      </c>
      <c r="AI528" t="str">
        <f>"001"</f>
        <v>001</v>
      </c>
      <c r="AJ528" t="str">
        <f t="shared" si="480"/>
        <v>CHOKUSOU</v>
      </c>
      <c r="AK528" t="str">
        <f>""</f>
        <v/>
      </c>
      <c r="AL528" t="str">
        <f>"9210"</f>
        <v>9210</v>
      </c>
      <c r="AM528" t="s">
        <v>104</v>
      </c>
      <c r="AN528" t="str">
        <f>"061"</f>
        <v>061</v>
      </c>
      <c r="AO528" t="str">
        <f>"TP-341 ｾﾝﾖｳ"</f>
        <v>TP-341 ｾﾝﾖｳ</v>
      </c>
      <c r="AP528">
        <v>120</v>
      </c>
      <c r="AQ528" t="str">
        <f>""</f>
        <v/>
      </c>
      <c r="AR528" t="str">
        <f>""</f>
        <v/>
      </c>
      <c r="AS528" t="str">
        <f>""</f>
        <v/>
      </c>
      <c r="AT528" t="str">
        <f t="shared" si="461"/>
        <v>00</v>
      </c>
      <c r="AU528">
        <v>0.5</v>
      </c>
      <c r="AV528" t="str">
        <f>""</f>
        <v/>
      </c>
      <c r="AW528" t="str">
        <f>""</f>
        <v/>
      </c>
      <c r="AX528" t="str">
        <f>""</f>
        <v/>
      </c>
      <c r="AY528" t="str">
        <f>""</f>
        <v/>
      </c>
      <c r="AZ528" t="str">
        <f>""</f>
        <v/>
      </c>
      <c r="BA528" t="str">
        <f>""</f>
        <v/>
      </c>
      <c r="BB528" t="str">
        <f>""</f>
        <v/>
      </c>
      <c r="BC528" t="str">
        <f t="shared" si="482"/>
        <v xml:space="preserve">   0.000</v>
      </c>
      <c r="BD528" t="str">
        <f t="shared" si="482"/>
        <v xml:space="preserve">   0.000</v>
      </c>
      <c r="BE528" t="str">
        <f t="shared" si="482"/>
        <v xml:space="preserve">   0.000</v>
      </c>
      <c r="BF528" t="str">
        <f t="shared" si="482"/>
        <v xml:space="preserve">   0.000</v>
      </c>
      <c r="BG528" t="str">
        <f t="shared" si="482"/>
        <v xml:space="preserve">   0.000</v>
      </c>
      <c r="BH528" t="str">
        <f t="shared" si="448"/>
        <v>しない</v>
      </c>
      <c r="BI528" t="str">
        <f>""</f>
        <v/>
      </c>
      <c r="BJ528" t="str">
        <f t="shared" si="478"/>
        <v>MASTER01</v>
      </c>
      <c r="BK528" t="str">
        <f t="shared" si="483"/>
        <v>2022/01/27</v>
      </c>
      <c r="BL528" t="str">
        <f t="shared" si="473"/>
        <v>NE00</v>
      </c>
      <c r="BM528" t="str">
        <f t="shared" si="474"/>
        <v>１工工務Ｇ</v>
      </c>
      <c r="BN528" t="str">
        <f t="shared" si="484"/>
        <v>39091</v>
      </c>
      <c r="BO528" t="str">
        <f t="shared" si="485"/>
        <v>佐竹　良太</v>
      </c>
    </row>
    <row r="529" spans="1:67">
      <c r="A529" t="s">
        <v>608</v>
      </c>
      <c r="B529" t="str">
        <f>""</f>
        <v/>
      </c>
      <c r="C529" t="str">
        <f>""</f>
        <v/>
      </c>
      <c r="D529" t="s">
        <v>103</v>
      </c>
      <c r="E529" t="str">
        <f t="shared" si="462"/>
        <v>1Y</v>
      </c>
      <c r="F529" t="str">
        <f t="shared" si="463"/>
        <v>第１工場</v>
      </c>
      <c r="G529" t="str">
        <f t="shared" si="475"/>
        <v>直送</v>
      </c>
      <c r="H529" t="str">
        <f t="shared" si="465"/>
        <v>Ｐ</v>
      </c>
      <c r="I529" t="str">
        <f>"4228"</f>
        <v>4228</v>
      </c>
      <c r="J529" t="str">
        <f>"日昌（株）"</f>
        <v>日昌（株）</v>
      </c>
      <c r="K529" t="str">
        <f t="shared" si="455"/>
        <v>01</v>
      </c>
      <c r="L529" t="str">
        <f>"名古屋支店"</f>
        <v>名古屋支店</v>
      </c>
      <c r="M529" t="str">
        <f t="shared" si="449"/>
        <v>――</v>
      </c>
      <c r="N529" t="str">
        <f t="shared" si="449"/>
        <v>――</v>
      </c>
      <c r="O529" t="str">
        <f t="shared" si="476"/>
        <v>Ｐ</v>
      </c>
      <c r="P529" t="str">
        <f>"2017"</f>
        <v>2017</v>
      </c>
      <c r="Q529" t="str">
        <f>"佐藤工業（株）"</f>
        <v>佐藤工業（株）</v>
      </c>
      <c r="R529" t="str">
        <f>"01"</f>
        <v>01</v>
      </c>
      <c r="S529" t="str">
        <f>""</f>
        <v/>
      </c>
      <c r="T529" t="str">
        <f t="shared" si="471"/>
        <v>直接</v>
      </c>
      <c r="U529" t="str">
        <f>""</f>
        <v/>
      </c>
      <c r="V529" t="str">
        <f>""</f>
        <v/>
      </c>
      <c r="W529" t="str">
        <f>""</f>
        <v/>
      </c>
      <c r="X529">
        <v>1</v>
      </c>
      <c r="Y529">
        <v>1</v>
      </c>
      <c r="Z529">
        <v>1</v>
      </c>
      <c r="AA529">
        <v>1.25</v>
      </c>
      <c r="AB529">
        <v>3</v>
      </c>
      <c r="AC529">
        <v>1.25</v>
      </c>
      <c r="AD529">
        <v>1.25</v>
      </c>
      <c r="AE529">
        <v>1.1000000000000001</v>
      </c>
      <c r="AF529">
        <v>0.5</v>
      </c>
      <c r="AG529" t="str">
        <f>"806"</f>
        <v>806</v>
      </c>
      <c r="AH529" t="str">
        <f>"日東電工（株）"</f>
        <v>日東電工（株）</v>
      </c>
      <c r="AI529" t="str">
        <f>"002"</f>
        <v>002</v>
      </c>
      <c r="AJ529" t="str">
        <f t="shared" si="480"/>
        <v>CHOKUSOU</v>
      </c>
      <c r="AK529" t="str">
        <f>""</f>
        <v/>
      </c>
      <c r="AL529" t="str">
        <f>"9210"</f>
        <v>9210</v>
      </c>
      <c r="AM529" t="s">
        <v>104</v>
      </c>
      <c r="AN529" t="str">
        <f>"014"</f>
        <v>014</v>
      </c>
      <c r="AO529" t="str">
        <f>"TP-331 ﾊﾝﾖｳ"</f>
        <v>TP-331 ﾊﾝﾖｳ</v>
      </c>
      <c r="AP529">
        <v>30</v>
      </c>
      <c r="AQ529" t="str">
        <f>""</f>
        <v/>
      </c>
      <c r="AR529" t="str">
        <f>""</f>
        <v/>
      </c>
      <c r="AS529" t="str">
        <f>""</f>
        <v/>
      </c>
      <c r="AT529" t="str">
        <f t="shared" si="461"/>
        <v>00</v>
      </c>
      <c r="AU529">
        <v>0.5</v>
      </c>
      <c r="AV529" t="str">
        <f>""</f>
        <v/>
      </c>
      <c r="AW529" t="str">
        <f>""</f>
        <v/>
      </c>
      <c r="AX529" t="str">
        <f>""</f>
        <v/>
      </c>
      <c r="AY529" t="str">
        <f>""</f>
        <v/>
      </c>
      <c r="AZ529" t="str">
        <f>""</f>
        <v/>
      </c>
      <c r="BA529" t="str">
        <f>""</f>
        <v/>
      </c>
      <c r="BB529" t="str">
        <f>""</f>
        <v/>
      </c>
      <c r="BC529" t="str">
        <f t="shared" si="482"/>
        <v xml:space="preserve">   0.000</v>
      </c>
      <c r="BD529" t="str">
        <f t="shared" si="482"/>
        <v xml:space="preserve">   0.000</v>
      </c>
      <c r="BE529" t="str">
        <f t="shared" si="482"/>
        <v xml:space="preserve">   0.000</v>
      </c>
      <c r="BF529" t="str">
        <f t="shared" si="482"/>
        <v xml:space="preserve">   0.000</v>
      </c>
      <c r="BG529" t="str">
        <f t="shared" si="482"/>
        <v xml:space="preserve">   0.000</v>
      </c>
      <c r="BH529" t="str">
        <f t="shared" si="448"/>
        <v>しない</v>
      </c>
      <c r="BI529" t="str">
        <f>""</f>
        <v/>
      </c>
      <c r="BJ529" t="str">
        <f t="shared" si="478"/>
        <v>MASTER01</v>
      </c>
      <c r="BK529" t="str">
        <f t="shared" si="483"/>
        <v>2022/01/27</v>
      </c>
      <c r="BL529" t="str">
        <f t="shared" si="473"/>
        <v>NE00</v>
      </c>
      <c r="BM529" t="str">
        <f t="shared" si="474"/>
        <v>１工工務Ｇ</v>
      </c>
      <c r="BN529" t="str">
        <f t="shared" si="484"/>
        <v>39091</v>
      </c>
      <c r="BO529" t="str">
        <f t="shared" si="485"/>
        <v>佐竹　良太</v>
      </c>
    </row>
    <row r="530" spans="1:67">
      <c r="A530" t="s">
        <v>608</v>
      </c>
      <c r="B530" t="str">
        <f>""</f>
        <v/>
      </c>
      <c r="C530" t="str">
        <f>""</f>
        <v/>
      </c>
      <c r="D530" t="s">
        <v>103</v>
      </c>
      <c r="E530" t="str">
        <f t="shared" si="462"/>
        <v>1Y</v>
      </c>
      <c r="F530" t="str">
        <f t="shared" si="463"/>
        <v>第１工場</v>
      </c>
      <c r="G530" t="str">
        <f t="shared" si="475"/>
        <v>直送</v>
      </c>
      <c r="H530" t="str">
        <f t="shared" si="465"/>
        <v>Ｐ</v>
      </c>
      <c r="I530" t="str">
        <f>"4228"</f>
        <v>4228</v>
      </c>
      <c r="J530" t="str">
        <f>"日昌（株）"</f>
        <v>日昌（株）</v>
      </c>
      <c r="K530" t="str">
        <f t="shared" si="455"/>
        <v>01</v>
      </c>
      <c r="L530" t="str">
        <f>"名古屋支店"</f>
        <v>名古屋支店</v>
      </c>
      <c r="M530" t="str">
        <f t="shared" si="449"/>
        <v>――</v>
      </c>
      <c r="N530" t="str">
        <f t="shared" si="449"/>
        <v>――</v>
      </c>
      <c r="O530" t="str">
        <f t="shared" si="476"/>
        <v>Ｐ</v>
      </c>
      <c r="P530" t="str">
        <f>"2017"</f>
        <v>2017</v>
      </c>
      <c r="Q530" t="str">
        <f>"佐藤工業（株）"</f>
        <v>佐藤工業（株）</v>
      </c>
      <c r="R530" t="str">
        <f>"03"</f>
        <v>03</v>
      </c>
      <c r="S530" t="str">
        <f>"藤塗装"</f>
        <v>藤塗装</v>
      </c>
      <c r="T530" t="str">
        <f t="shared" si="471"/>
        <v>直接</v>
      </c>
      <c r="U530" t="str">
        <f>""</f>
        <v/>
      </c>
      <c r="V530" t="str">
        <f>""</f>
        <v/>
      </c>
      <c r="W530" t="str">
        <f>""</f>
        <v/>
      </c>
      <c r="X530">
        <v>1</v>
      </c>
      <c r="Y530">
        <v>1</v>
      </c>
      <c r="Z530">
        <v>1</v>
      </c>
      <c r="AA530">
        <v>1.25</v>
      </c>
      <c r="AB530">
        <v>3</v>
      </c>
      <c r="AC530">
        <v>1.25</v>
      </c>
      <c r="AD530">
        <v>1.25</v>
      </c>
      <c r="AE530">
        <v>1.1000000000000001</v>
      </c>
      <c r="AF530">
        <v>0.5</v>
      </c>
      <c r="AG530" t="str">
        <f>"806"</f>
        <v>806</v>
      </c>
      <c r="AH530" t="str">
        <f>"日東電工（株）"</f>
        <v>日東電工（株）</v>
      </c>
      <c r="AI530" t="str">
        <f>"002"</f>
        <v>002</v>
      </c>
      <c r="AJ530" t="str">
        <f t="shared" si="480"/>
        <v>CHOKUSOU</v>
      </c>
      <c r="AK530" t="str">
        <f>""</f>
        <v/>
      </c>
      <c r="AL530" t="str">
        <f>"9210"</f>
        <v>9210</v>
      </c>
      <c r="AM530" t="s">
        <v>104</v>
      </c>
      <c r="AN530" t="str">
        <f>"014"</f>
        <v>014</v>
      </c>
      <c r="AO530" t="str">
        <f>"TP-331 ﾊﾝﾖｳ"</f>
        <v>TP-331 ﾊﾝﾖｳ</v>
      </c>
      <c r="AP530">
        <v>30</v>
      </c>
      <c r="AQ530" t="str">
        <f>""</f>
        <v/>
      </c>
      <c r="AR530" t="str">
        <f>""</f>
        <v/>
      </c>
      <c r="AS530" t="str">
        <f>""</f>
        <v/>
      </c>
      <c r="AT530" t="str">
        <f t="shared" si="461"/>
        <v>00</v>
      </c>
      <c r="AU530">
        <v>0.5</v>
      </c>
      <c r="AV530" t="str">
        <f>""</f>
        <v/>
      </c>
      <c r="AW530" t="str">
        <f>""</f>
        <v/>
      </c>
      <c r="AX530" t="str">
        <f>""</f>
        <v/>
      </c>
      <c r="AY530" t="str">
        <f>""</f>
        <v/>
      </c>
      <c r="AZ530" t="str">
        <f>""</f>
        <v/>
      </c>
      <c r="BA530" t="str">
        <f>""</f>
        <v/>
      </c>
      <c r="BB530" t="str">
        <f>""</f>
        <v/>
      </c>
      <c r="BC530" t="str">
        <f t="shared" si="482"/>
        <v xml:space="preserve">   0.000</v>
      </c>
      <c r="BD530" t="str">
        <f t="shared" si="482"/>
        <v xml:space="preserve">   0.000</v>
      </c>
      <c r="BE530" t="str">
        <f t="shared" si="482"/>
        <v xml:space="preserve">   0.000</v>
      </c>
      <c r="BF530" t="str">
        <f t="shared" si="482"/>
        <v xml:space="preserve">   0.000</v>
      </c>
      <c r="BG530" t="str">
        <f t="shared" si="482"/>
        <v xml:space="preserve">   0.000</v>
      </c>
      <c r="BH530" t="str">
        <f t="shared" si="448"/>
        <v>しない</v>
      </c>
      <c r="BI530" t="str">
        <f>""</f>
        <v/>
      </c>
      <c r="BJ530" t="str">
        <f t="shared" si="478"/>
        <v>MASTER01</v>
      </c>
      <c r="BK530" t="str">
        <f t="shared" si="483"/>
        <v>2022/01/27</v>
      </c>
      <c r="BL530" t="str">
        <f t="shared" si="473"/>
        <v>NE00</v>
      </c>
      <c r="BM530" t="str">
        <f t="shared" si="474"/>
        <v>１工工務Ｇ</v>
      </c>
      <c r="BN530" t="str">
        <f t="shared" si="484"/>
        <v>39091</v>
      </c>
      <c r="BO530" t="str">
        <f t="shared" si="485"/>
        <v>佐竹　良太</v>
      </c>
    </row>
    <row r="531" spans="1:67">
      <c r="A531" t="s">
        <v>609</v>
      </c>
      <c r="B531" t="str">
        <f>""</f>
        <v/>
      </c>
      <c r="C531" t="str">
        <f>""</f>
        <v/>
      </c>
      <c r="D531" t="s">
        <v>105</v>
      </c>
      <c r="E531" t="str">
        <f t="shared" si="462"/>
        <v>1Y</v>
      </c>
      <c r="F531" t="str">
        <f t="shared" si="463"/>
        <v>第１工場</v>
      </c>
      <c r="G531" t="str">
        <f t="shared" si="475"/>
        <v>直送</v>
      </c>
      <c r="H531" t="str">
        <f t="shared" si="465"/>
        <v>Ｐ</v>
      </c>
      <c r="I531" t="str">
        <f>"0008"</f>
        <v>0008</v>
      </c>
      <c r="J531" t="str">
        <f>"愛知製鋼（株）"</f>
        <v>愛知製鋼（株）</v>
      </c>
      <c r="K531" t="str">
        <f t="shared" si="455"/>
        <v>01</v>
      </c>
      <c r="L531" t="str">
        <f>""</f>
        <v/>
      </c>
      <c r="M531" t="str">
        <f t="shared" si="449"/>
        <v>――</v>
      </c>
      <c r="N531" t="str">
        <f t="shared" si="449"/>
        <v>――</v>
      </c>
      <c r="O531" t="str">
        <f t="shared" si="476"/>
        <v>Ｐ</v>
      </c>
      <c r="P531" t="str">
        <f>"2038"</f>
        <v>2038</v>
      </c>
      <c r="Q531" t="str">
        <f>"アイシン機工（株）"</f>
        <v>アイシン機工（株）</v>
      </c>
      <c r="R531" t="str">
        <f>"06"</f>
        <v>06</v>
      </c>
      <c r="S531" t="str">
        <f>"吉良工場"</f>
        <v>吉良工場</v>
      </c>
      <c r="T531" t="str">
        <f t="shared" si="471"/>
        <v>直接</v>
      </c>
      <c r="U531" t="str">
        <f>""</f>
        <v/>
      </c>
      <c r="V531" t="str">
        <f>""</f>
        <v/>
      </c>
      <c r="W531" t="str">
        <f>""</f>
        <v/>
      </c>
      <c r="X531">
        <v>1</v>
      </c>
      <c r="Y531">
        <v>1</v>
      </c>
      <c r="Z531">
        <v>1</v>
      </c>
      <c r="AA531">
        <v>1.25</v>
      </c>
      <c r="AB531">
        <v>3</v>
      </c>
      <c r="AC531">
        <v>1.25</v>
      </c>
      <c r="AD531">
        <v>1.25</v>
      </c>
      <c r="AE531">
        <v>1.1000000000000001</v>
      </c>
      <c r="AF531">
        <v>0.5</v>
      </c>
      <c r="AG531" t="str">
        <f>"005"</f>
        <v>005</v>
      </c>
      <c r="AH531" t="str">
        <f>"愛知製鋼（株）"</f>
        <v>愛知製鋼（株）</v>
      </c>
      <c r="AI531" t="str">
        <f>"001"</f>
        <v>001</v>
      </c>
      <c r="AJ531" t="str">
        <f t="shared" si="480"/>
        <v>CHOKUSOU</v>
      </c>
      <c r="AK531" t="str">
        <f>""</f>
        <v/>
      </c>
      <c r="AL531" t="str">
        <f>"0427"</f>
        <v>0427</v>
      </c>
      <c r="AM531" t="str">
        <f>"ｼｬﾌﾄ ｱｳﾄﾌﾟｯﾄ"</f>
        <v>ｼｬﾌﾄ ｱｳﾄﾌﾟｯﾄ</v>
      </c>
      <c r="AN531" t="str">
        <f>"091"</f>
        <v>091</v>
      </c>
      <c r="AO531" t="str">
        <f>"ｼﾞﾕｼﾊﾟﾚ ﾊﾝﾖｳ"</f>
        <v>ｼﾞﾕｼﾊﾟﾚ ﾊﾝﾖｳ</v>
      </c>
      <c r="AP531">
        <v>64</v>
      </c>
      <c r="AQ531" t="str">
        <f>""</f>
        <v/>
      </c>
      <c r="AR531" t="str">
        <f>""</f>
        <v/>
      </c>
      <c r="AS531" t="str">
        <f>""</f>
        <v/>
      </c>
      <c r="AT531" t="str">
        <f t="shared" si="461"/>
        <v>00</v>
      </c>
      <c r="AU531">
        <v>0.5</v>
      </c>
      <c r="AV531" t="str">
        <f>""</f>
        <v/>
      </c>
      <c r="AW531" t="str">
        <f>""</f>
        <v/>
      </c>
      <c r="AX531" t="str">
        <f>""</f>
        <v/>
      </c>
      <c r="AY531" t="str">
        <f>""</f>
        <v/>
      </c>
      <c r="AZ531" t="str">
        <f>""</f>
        <v/>
      </c>
      <c r="BA531" t="str">
        <f>""</f>
        <v/>
      </c>
      <c r="BB531" t="str">
        <f>""</f>
        <v/>
      </c>
      <c r="BC531" t="str">
        <f t="shared" si="482"/>
        <v xml:space="preserve">   0.000</v>
      </c>
      <c r="BD531" t="str">
        <f t="shared" si="482"/>
        <v xml:space="preserve">   0.000</v>
      </c>
      <c r="BE531" t="str">
        <f t="shared" si="482"/>
        <v xml:space="preserve">   0.000</v>
      </c>
      <c r="BF531" t="str">
        <f t="shared" si="482"/>
        <v xml:space="preserve">   0.000</v>
      </c>
      <c r="BG531" t="str">
        <f t="shared" si="482"/>
        <v xml:space="preserve">   0.000</v>
      </c>
      <c r="BH531" t="str">
        <f t="shared" si="448"/>
        <v>しない</v>
      </c>
      <c r="BI531" t="str">
        <f>""</f>
        <v/>
      </c>
      <c r="BJ531" t="str">
        <f t="shared" si="478"/>
        <v>MASTER01</v>
      </c>
      <c r="BK531" t="str">
        <f t="shared" si="483"/>
        <v>2022/01/27</v>
      </c>
      <c r="BL531" t="str">
        <f t="shared" si="473"/>
        <v>NE00</v>
      </c>
      <c r="BM531" t="str">
        <f t="shared" si="474"/>
        <v>１工工務Ｇ</v>
      </c>
      <c r="BN531" t="str">
        <f t="shared" si="484"/>
        <v>39091</v>
      </c>
      <c r="BO531" t="str">
        <f t="shared" si="485"/>
        <v>佐竹　良太</v>
      </c>
    </row>
    <row r="532" spans="1:67">
      <c r="A532" t="s">
        <v>610</v>
      </c>
      <c r="B532" t="str">
        <f>""</f>
        <v/>
      </c>
      <c r="C532" t="str">
        <f>""</f>
        <v/>
      </c>
      <c r="D532" t="s">
        <v>105</v>
      </c>
      <c r="E532" t="str">
        <f t="shared" si="462"/>
        <v>1Y</v>
      </c>
      <c r="F532" t="str">
        <f t="shared" si="463"/>
        <v>第１工場</v>
      </c>
      <c r="G532" t="str">
        <f t="shared" si="475"/>
        <v>直送</v>
      </c>
      <c r="H532" t="str">
        <f t="shared" si="465"/>
        <v>Ｐ</v>
      </c>
      <c r="I532" t="str">
        <f>"0008"</f>
        <v>0008</v>
      </c>
      <c r="J532" t="str">
        <f>"愛知製鋼（株）"</f>
        <v>愛知製鋼（株）</v>
      </c>
      <c r="K532" t="str">
        <f t="shared" si="455"/>
        <v>01</v>
      </c>
      <c r="L532" t="str">
        <f>""</f>
        <v/>
      </c>
      <c r="M532" t="str">
        <f t="shared" si="449"/>
        <v>――</v>
      </c>
      <c r="N532" t="str">
        <f t="shared" si="449"/>
        <v>――</v>
      </c>
      <c r="O532" t="str">
        <f t="shared" si="476"/>
        <v>Ｐ</v>
      </c>
      <c r="P532" t="str">
        <f>"2038"</f>
        <v>2038</v>
      </c>
      <c r="Q532" t="str">
        <f>"アイシン機工（株）"</f>
        <v>アイシン機工（株）</v>
      </c>
      <c r="R532" t="str">
        <f>"06"</f>
        <v>06</v>
      </c>
      <c r="S532" t="str">
        <f>"吉良工場"</f>
        <v>吉良工場</v>
      </c>
      <c r="T532" t="str">
        <f t="shared" si="471"/>
        <v>直接</v>
      </c>
      <c r="U532" t="str">
        <f>""</f>
        <v/>
      </c>
      <c r="V532" t="str">
        <f>""</f>
        <v/>
      </c>
      <c r="W532" t="str">
        <f>""</f>
        <v/>
      </c>
      <c r="X532">
        <v>1</v>
      </c>
      <c r="Y532">
        <v>1</v>
      </c>
      <c r="Z532">
        <v>1</v>
      </c>
      <c r="AA532">
        <v>1.25</v>
      </c>
      <c r="AB532">
        <v>3</v>
      </c>
      <c r="AC532">
        <v>1.25</v>
      </c>
      <c r="AD532">
        <v>1.25</v>
      </c>
      <c r="AE532">
        <v>1.1000000000000001</v>
      </c>
      <c r="AF532">
        <v>0.5</v>
      </c>
      <c r="AG532" t="str">
        <f>"005"</f>
        <v>005</v>
      </c>
      <c r="AH532" t="str">
        <f>"愛知製鋼（株）"</f>
        <v>愛知製鋼（株）</v>
      </c>
      <c r="AI532" t="str">
        <f>"002"</f>
        <v>002</v>
      </c>
      <c r="AJ532" t="str">
        <f t="shared" si="480"/>
        <v>CHOKUSOU</v>
      </c>
      <c r="AK532" t="str">
        <f>""</f>
        <v/>
      </c>
      <c r="AL532" t="str">
        <f>"0427"</f>
        <v>0427</v>
      </c>
      <c r="AM532" t="str">
        <f>"ｼｬﾌﾄ ｱｳﾄﾌﾟｯﾄ"</f>
        <v>ｼｬﾌﾄ ｱｳﾄﾌﾟｯﾄ</v>
      </c>
      <c r="AN532" t="str">
        <f>"091"</f>
        <v>091</v>
      </c>
      <c r="AO532" t="str">
        <f>"ｼﾞﾕｼﾊﾟﾚ ﾊﾝﾖｳ"</f>
        <v>ｼﾞﾕｼﾊﾟﾚ ﾊﾝﾖｳ</v>
      </c>
      <c r="AP532">
        <v>64</v>
      </c>
      <c r="AQ532" t="str">
        <f>""</f>
        <v/>
      </c>
      <c r="AR532" t="str">
        <f>""</f>
        <v/>
      </c>
      <c r="AS532" t="str">
        <f>""</f>
        <v/>
      </c>
      <c r="AT532" t="str">
        <f t="shared" si="461"/>
        <v>00</v>
      </c>
      <c r="AU532">
        <v>0.5</v>
      </c>
      <c r="AV532" t="str">
        <f>""</f>
        <v/>
      </c>
      <c r="AW532" t="str">
        <f>""</f>
        <v/>
      </c>
      <c r="AX532" t="str">
        <f>""</f>
        <v/>
      </c>
      <c r="AY532" t="str">
        <f>""</f>
        <v/>
      </c>
      <c r="AZ532" t="str">
        <f>""</f>
        <v/>
      </c>
      <c r="BA532" t="str">
        <f>""</f>
        <v/>
      </c>
      <c r="BB532" t="str">
        <f>""</f>
        <v/>
      </c>
      <c r="BC532" t="str">
        <f t="shared" si="482"/>
        <v xml:space="preserve">   0.000</v>
      </c>
      <c r="BD532" t="str">
        <f t="shared" si="482"/>
        <v xml:space="preserve">   0.000</v>
      </c>
      <c r="BE532" t="str">
        <f t="shared" si="482"/>
        <v xml:space="preserve">   0.000</v>
      </c>
      <c r="BF532" t="str">
        <f t="shared" si="482"/>
        <v xml:space="preserve">   0.000</v>
      </c>
      <c r="BG532" t="str">
        <f t="shared" si="482"/>
        <v xml:space="preserve">   0.000</v>
      </c>
      <c r="BH532" t="str">
        <f t="shared" si="448"/>
        <v>しない</v>
      </c>
      <c r="BI532" t="str">
        <f>""</f>
        <v/>
      </c>
      <c r="BJ532" t="str">
        <f t="shared" si="478"/>
        <v>MASTER01</v>
      </c>
      <c r="BK532" t="str">
        <f t="shared" si="483"/>
        <v>2022/01/27</v>
      </c>
      <c r="BL532" t="str">
        <f t="shared" si="473"/>
        <v>NE00</v>
      </c>
      <c r="BM532" t="str">
        <f t="shared" si="474"/>
        <v>１工工務Ｇ</v>
      </c>
      <c r="BN532" t="str">
        <f t="shared" si="484"/>
        <v>39091</v>
      </c>
      <c r="BO532" t="str">
        <f t="shared" si="485"/>
        <v>佐竹　良太</v>
      </c>
    </row>
    <row r="533" spans="1:67">
      <c r="A533" t="s">
        <v>611</v>
      </c>
      <c r="B533" t="str">
        <f>""</f>
        <v/>
      </c>
      <c r="C533" t="str">
        <f>""</f>
        <v/>
      </c>
      <c r="D533" t="s">
        <v>106</v>
      </c>
      <c r="E533" t="str">
        <f t="shared" si="462"/>
        <v>1Y</v>
      </c>
      <c r="F533" t="str">
        <f t="shared" si="463"/>
        <v>第１工場</v>
      </c>
      <c r="G533" t="str">
        <f t="shared" si="475"/>
        <v>直送</v>
      </c>
      <c r="H533" t="str">
        <f t="shared" si="465"/>
        <v>Ｐ</v>
      </c>
      <c r="I533" t="str">
        <f>"1825"</f>
        <v>1825</v>
      </c>
      <c r="J533" t="str">
        <f>"（株）コタニ"</f>
        <v>（株）コタニ</v>
      </c>
      <c r="K533" t="str">
        <f t="shared" si="455"/>
        <v>01</v>
      </c>
      <c r="L533" t="str">
        <f>"丸共通運発行"</f>
        <v>丸共通運発行</v>
      </c>
      <c r="M533" t="str">
        <f t="shared" si="449"/>
        <v>――</v>
      </c>
      <c r="N533" t="str">
        <f t="shared" si="449"/>
        <v>――</v>
      </c>
      <c r="O533" t="str">
        <f t="shared" si="476"/>
        <v>Ｐ</v>
      </c>
      <c r="P533" t="str">
        <f>"2038"</f>
        <v>2038</v>
      </c>
      <c r="Q533" t="str">
        <f>"アイシン機工（株）"</f>
        <v>アイシン機工（株）</v>
      </c>
      <c r="R533" t="str">
        <f>"06"</f>
        <v>06</v>
      </c>
      <c r="S533" t="str">
        <f>"吉良工場"</f>
        <v>吉良工場</v>
      </c>
      <c r="T533" t="str">
        <f t="shared" si="471"/>
        <v>直接</v>
      </c>
      <c r="U533" t="str">
        <f>""</f>
        <v/>
      </c>
      <c r="V533" t="str">
        <f>""</f>
        <v/>
      </c>
      <c r="W533" t="str">
        <f>""</f>
        <v/>
      </c>
      <c r="X533">
        <v>1</v>
      </c>
      <c r="Y533">
        <v>1</v>
      </c>
      <c r="Z533">
        <v>1</v>
      </c>
      <c r="AA533">
        <v>1.25</v>
      </c>
      <c r="AB533">
        <v>3</v>
      </c>
      <c r="AC533">
        <v>1.25</v>
      </c>
      <c r="AD533">
        <v>1.25</v>
      </c>
      <c r="AE533">
        <v>1.1000000000000001</v>
      </c>
      <c r="AF533">
        <v>0.5</v>
      </c>
      <c r="AG533" t="str">
        <f>"220"</f>
        <v>220</v>
      </c>
      <c r="AH533" t="str">
        <f>"（株）コタニ"</f>
        <v>（株）コタニ</v>
      </c>
      <c r="AI533" t="str">
        <f>"001"</f>
        <v>001</v>
      </c>
      <c r="AJ533" t="str">
        <f t="shared" si="480"/>
        <v>CHOKUSOU</v>
      </c>
      <c r="AK533" t="str">
        <f>""</f>
        <v/>
      </c>
      <c r="AL533" t="str">
        <f>"9116"</f>
        <v>9116</v>
      </c>
      <c r="AM533" t="str">
        <f>"ﾛｰﾀｰｼｬﾌﾄ"</f>
        <v>ﾛｰﾀｰｼｬﾌﾄ</v>
      </c>
      <c r="AN533" t="str">
        <f>"091"</f>
        <v>091</v>
      </c>
      <c r="AO533" t="str">
        <f>"ｼﾞﾕｼﾊﾟﾚ ﾊﾝﾖｳ"</f>
        <v>ｼﾞﾕｼﾊﾟﾚ ﾊﾝﾖｳ</v>
      </c>
      <c r="AP533">
        <v>130</v>
      </c>
      <c r="AQ533" t="str">
        <f>""</f>
        <v/>
      </c>
      <c r="AR533" t="str">
        <f>""</f>
        <v/>
      </c>
      <c r="AS533" t="str">
        <f>""</f>
        <v/>
      </c>
      <c r="AT533" t="str">
        <f t="shared" si="461"/>
        <v>00</v>
      </c>
      <c r="AU533">
        <v>0.5</v>
      </c>
      <c r="AV533" t="str">
        <f>""</f>
        <v/>
      </c>
      <c r="AW533" t="str">
        <f>""</f>
        <v/>
      </c>
      <c r="AX533" t="str">
        <f>""</f>
        <v/>
      </c>
      <c r="AY533" t="str">
        <f>""</f>
        <v/>
      </c>
      <c r="AZ533" t="str">
        <f>""</f>
        <v/>
      </c>
      <c r="BA533" t="str">
        <f>""</f>
        <v/>
      </c>
      <c r="BB533" t="str">
        <f>""</f>
        <v/>
      </c>
      <c r="BC533" t="str">
        <f t="shared" si="482"/>
        <v xml:space="preserve">   0.000</v>
      </c>
      <c r="BD533" t="str">
        <f t="shared" si="482"/>
        <v xml:space="preserve">   0.000</v>
      </c>
      <c r="BE533" t="str">
        <f t="shared" si="482"/>
        <v xml:space="preserve">   0.000</v>
      </c>
      <c r="BF533" t="str">
        <f t="shared" si="482"/>
        <v xml:space="preserve">   0.000</v>
      </c>
      <c r="BG533" t="str">
        <f t="shared" si="482"/>
        <v xml:space="preserve">   0.000</v>
      </c>
      <c r="BH533" t="str">
        <f t="shared" si="448"/>
        <v>しない</v>
      </c>
      <c r="BI533" t="str">
        <f>""</f>
        <v/>
      </c>
      <c r="BJ533" t="str">
        <f t="shared" si="478"/>
        <v>MASTER01</v>
      </c>
      <c r="BK533" t="str">
        <f t="shared" si="483"/>
        <v>2022/01/27</v>
      </c>
      <c r="BL533" t="str">
        <f t="shared" si="473"/>
        <v>NE00</v>
      </c>
      <c r="BM533" t="str">
        <f t="shared" si="474"/>
        <v>１工工務Ｇ</v>
      </c>
      <c r="BN533" t="str">
        <f t="shared" si="484"/>
        <v>39091</v>
      </c>
      <c r="BO533" t="str">
        <f t="shared" si="485"/>
        <v>佐竹　良太</v>
      </c>
    </row>
    <row r="534" spans="1:67">
      <c r="A534" t="s">
        <v>612</v>
      </c>
      <c r="B534" t="str">
        <f>""</f>
        <v/>
      </c>
      <c r="C534" t="str">
        <f>""</f>
        <v/>
      </c>
      <c r="D534" t="s">
        <v>106</v>
      </c>
      <c r="E534" t="str">
        <f t="shared" si="462"/>
        <v>1Y</v>
      </c>
      <c r="F534" t="str">
        <f t="shared" si="463"/>
        <v>第１工場</v>
      </c>
      <c r="G534" t="str">
        <f t="shared" si="475"/>
        <v>直送</v>
      </c>
      <c r="H534" t="str">
        <f t="shared" si="465"/>
        <v>Ｐ</v>
      </c>
      <c r="I534" t="str">
        <f>"1825"</f>
        <v>1825</v>
      </c>
      <c r="J534" t="str">
        <f>"（株）コタニ"</f>
        <v>（株）コタニ</v>
      </c>
      <c r="K534" t="str">
        <f t="shared" si="455"/>
        <v>01</v>
      </c>
      <c r="L534" t="str">
        <f>"丸共通運発行"</f>
        <v>丸共通運発行</v>
      </c>
      <c r="M534" t="str">
        <f t="shared" si="449"/>
        <v>――</v>
      </c>
      <c r="N534" t="str">
        <f t="shared" si="449"/>
        <v>――</v>
      </c>
      <c r="O534" t="str">
        <f t="shared" si="476"/>
        <v>Ｐ</v>
      </c>
      <c r="P534" t="str">
        <f>"2038"</f>
        <v>2038</v>
      </c>
      <c r="Q534" t="str">
        <f>"アイシン機工（株）"</f>
        <v>アイシン機工（株）</v>
      </c>
      <c r="R534" t="str">
        <f>"06"</f>
        <v>06</v>
      </c>
      <c r="S534" t="str">
        <f>"吉良工場"</f>
        <v>吉良工場</v>
      </c>
      <c r="T534" t="str">
        <f t="shared" si="471"/>
        <v>直接</v>
      </c>
      <c r="U534" t="str">
        <f>""</f>
        <v/>
      </c>
      <c r="V534" t="str">
        <f>""</f>
        <v/>
      </c>
      <c r="W534" t="str">
        <f>""</f>
        <v/>
      </c>
      <c r="X534">
        <v>1</v>
      </c>
      <c r="Y534">
        <v>1</v>
      </c>
      <c r="Z534">
        <v>1</v>
      </c>
      <c r="AA534">
        <v>1.25</v>
      </c>
      <c r="AB534">
        <v>3</v>
      </c>
      <c r="AC534">
        <v>1.25</v>
      </c>
      <c r="AD534">
        <v>1.25</v>
      </c>
      <c r="AE534">
        <v>1.1000000000000001</v>
      </c>
      <c r="AF534">
        <v>0.5</v>
      </c>
      <c r="AG534" t="str">
        <f>"220"</f>
        <v>220</v>
      </c>
      <c r="AH534" t="str">
        <f>"（株）コタニ"</f>
        <v>（株）コタニ</v>
      </c>
      <c r="AI534" t="str">
        <f>"002"</f>
        <v>002</v>
      </c>
      <c r="AJ534" t="str">
        <f t="shared" si="480"/>
        <v>CHOKUSOU</v>
      </c>
      <c r="AK534" t="str">
        <f>""</f>
        <v/>
      </c>
      <c r="AL534" t="str">
        <f>"9116"</f>
        <v>9116</v>
      </c>
      <c r="AM534" t="str">
        <f>"ﾛｰﾀｰｼｬﾌﾄ"</f>
        <v>ﾛｰﾀｰｼｬﾌﾄ</v>
      </c>
      <c r="AN534" t="str">
        <f>"091"</f>
        <v>091</v>
      </c>
      <c r="AO534" t="str">
        <f>"ｼﾞﾕｼﾊﾟﾚ ﾊﾝﾖｳ"</f>
        <v>ｼﾞﾕｼﾊﾟﾚ ﾊﾝﾖｳ</v>
      </c>
      <c r="AP534">
        <v>130</v>
      </c>
      <c r="AQ534" t="str">
        <f>""</f>
        <v/>
      </c>
      <c r="AR534" t="str">
        <f>""</f>
        <v/>
      </c>
      <c r="AS534" t="str">
        <f>""</f>
        <v/>
      </c>
      <c r="AT534" t="str">
        <f t="shared" si="461"/>
        <v>00</v>
      </c>
      <c r="AU534">
        <v>0.5</v>
      </c>
      <c r="AV534" t="str">
        <f>""</f>
        <v/>
      </c>
      <c r="AW534" t="str">
        <f>""</f>
        <v/>
      </c>
      <c r="AX534" t="str">
        <f>""</f>
        <v/>
      </c>
      <c r="AY534" t="str">
        <f>""</f>
        <v/>
      </c>
      <c r="AZ534" t="str">
        <f>""</f>
        <v/>
      </c>
      <c r="BA534" t="str">
        <f>""</f>
        <v/>
      </c>
      <c r="BB534" t="str">
        <f>""</f>
        <v/>
      </c>
      <c r="BC534" t="str">
        <f t="shared" si="482"/>
        <v xml:space="preserve">   0.000</v>
      </c>
      <c r="BD534" t="str">
        <f t="shared" si="482"/>
        <v xml:space="preserve">   0.000</v>
      </c>
      <c r="BE534" t="str">
        <f t="shared" si="482"/>
        <v xml:space="preserve">   0.000</v>
      </c>
      <c r="BF534" t="str">
        <f t="shared" si="482"/>
        <v xml:space="preserve">   0.000</v>
      </c>
      <c r="BG534" t="str">
        <f t="shared" si="482"/>
        <v xml:space="preserve">   0.000</v>
      </c>
      <c r="BH534" t="str">
        <f t="shared" si="448"/>
        <v>しない</v>
      </c>
      <c r="BI534" t="str">
        <f>""</f>
        <v/>
      </c>
      <c r="BJ534" t="str">
        <f t="shared" si="478"/>
        <v>MASTER01</v>
      </c>
      <c r="BK534" t="str">
        <f t="shared" si="483"/>
        <v>2022/01/27</v>
      </c>
      <c r="BL534" t="str">
        <f t="shared" si="473"/>
        <v>NE00</v>
      </c>
      <c r="BM534" t="str">
        <f t="shared" si="474"/>
        <v>１工工務Ｇ</v>
      </c>
      <c r="BN534" t="str">
        <f t="shared" si="484"/>
        <v>39091</v>
      </c>
      <c r="BO534" t="str">
        <f t="shared" si="485"/>
        <v>佐竹　良太</v>
      </c>
    </row>
    <row r="535" spans="1:67">
      <c r="A535" t="s">
        <v>613</v>
      </c>
      <c r="B535" t="str">
        <f>""</f>
        <v/>
      </c>
      <c r="C535" t="str">
        <f>""</f>
        <v/>
      </c>
      <c r="D535" t="s">
        <v>106</v>
      </c>
      <c r="E535" t="str">
        <f t="shared" si="462"/>
        <v>1Y</v>
      </c>
      <c r="F535" t="str">
        <f t="shared" si="463"/>
        <v>第１工場</v>
      </c>
      <c r="G535" t="str">
        <f t="shared" si="475"/>
        <v>直送</v>
      </c>
      <c r="H535" t="str">
        <f t="shared" si="465"/>
        <v>Ｐ</v>
      </c>
      <c r="I535" t="str">
        <f>"1825"</f>
        <v>1825</v>
      </c>
      <c r="J535" t="str">
        <f>"（株）コタニ"</f>
        <v>（株）コタニ</v>
      </c>
      <c r="K535" t="str">
        <f t="shared" si="455"/>
        <v>01</v>
      </c>
      <c r="L535" t="str">
        <f>"丸共通運発行"</f>
        <v>丸共通運発行</v>
      </c>
      <c r="M535" t="str">
        <f t="shared" si="449"/>
        <v>――</v>
      </c>
      <c r="N535" t="str">
        <f t="shared" si="449"/>
        <v>――</v>
      </c>
      <c r="O535" t="str">
        <f t="shared" si="476"/>
        <v>Ｐ</v>
      </c>
      <c r="P535" t="str">
        <f>"2038"</f>
        <v>2038</v>
      </c>
      <c r="Q535" t="str">
        <f>"アイシン機工（株）"</f>
        <v>アイシン機工（株）</v>
      </c>
      <c r="R535" t="str">
        <f>"06"</f>
        <v>06</v>
      </c>
      <c r="S535" t="str">
        <f>"吉良工場"</f>
        <v>吉良工場</v>
      </c>
      <c r="T535" t="str">
        <f t="shared" si="471"/>
        <v>直接</v>
      </c>
      <c r="U535" t="str">
        <f>""</f>
        <v/>
      </c>
      <c r="V535" t="str">
        <f>""</f>
        <v/>
      </c>
      <c r="W535" t="str">
        <f>""</f>
        <v/>
      </c>
      <c r="X535">
        <v>1</v>
      </c>
      <c r="Y535">
        <v>1</v>
      </c>
      <c r="Z535">
        <v>1</v>
      </c>
      <c r="AA535">
        <v>1.25</v>
      </c>
      <c r="AB535">
        <v>3</v>
      </c>
      <c r="AC535">
        <v>1.25</v>
      </c>
      <c r="AD535">
        <v>1.25</v>
      </c>
      <c r="AE535">
        <v>1.1000000000000001</v>
      </c>
      <c r="AF535">
        <v>0.5</v>
      </c>
      <c r="AG535" t="str">
        <f>"220"</f>
        <v>220</v>
      </c>
      <c r="AH535" t="str">
        <f>"（株）コタニ"</f>
        <v>（株）コタニ</v>
      </c>
      <c r="AI535" t="str">
        <f>"003"</f>
        <v>003</v>
      </c>
      <c r="AJ535" t="str">
        <f t="shared" si="480"/>
        <v>CHOKUSOU</v>
      </c>
      <c r="AK535" t="str">
        <f>""</f>
        <v/>
      </c>
      <c r="AL535" t="str">
        <f>"9116"</f>
        <v>9116</v>
      </c>
      <c r="AM535" t="str">
        <f>"ﾛｰﾀｰｼｬﾌﾄ"</f>
        <v>ﾛｰﾀｰｼｬﾌﾄ</v>
      </c>
      <c r="AN535" t="str">
        <f>"091"</f>
        <v>091</v>
      </c>
      <c r="AO535" t="str">
        <f>"ｼﾞﾕｼﾊﾟﾚ ﾊﾝﾖｳ"</f>
        <v>ｼﾞﾕｼﾊﾟﾚ ﾊﾝﾖｳ</v>
      </c>
      <c r="AP535">
        <v>170</v>
      </c>
      <c r="AQ535" t="str">
        <f>""</f>
        <v/>
      </c>
      <c r="AR535" t="str">
        <f>""</f>
        <v/>
      </c>
      <c r="AS535" t="str">
        <f>""</f>
        <v/>
      </c>
      <c r="AT535" t="str">
        <f t="shared" si="461"/>
        <v>00</v>
      </c>
      <c r="AU535">
        <v>0.5</v>
      </c>
      <c r="AV535" t="str">
        <f>""</f>
        <v/>
      </c>
      <c r="AW535" t="str">
        <f>""</f>
        <v/>
      </c>
      <c r="AX535" t="str">
        <f>""</f>
        <v/>
      </c>
      <c r="AY535" t="str">
        <f>""</f>
        <v/>
      </c>
      <c r="AZ535" t="str">
        <f>""</f>
        <v/>
      </c>
      <c r="BA535" t="str">
        <f>""</f>
        <v/>
      </c>
      <c r="BB535" t="str">
        <f>""</f>
        <v/>
      </c>
      <c r="BC535" t="str">
        <f t="shared" si="482"/>
        <v xml:space="preserve">   0.000</v>
      </c>
      <c r="BD535" t="str">
        <f t="shared" si="482"/>
        <v xml:space="preserve">   0.000</v>
      </c>
      <c r="BE535" t="str">
        <f t="shared" si="482"/>
        <v xml:space="preserve">   0.000</v>
      </c>
      <c r="BF535" t="str">
        <f t="shared" si="482"/>
        <v xml:space="preserve">   0.000</v>
      </c>
      <c r="BG535" t="str">
        <f t="shared" si="482"/>
        <v xml:space="preserve">   0.000</v>
      </c>
      <c r="BH535" t="str">
        <f t="shared" si="448"/>
        <v>しない</v>
      </c>
      <c r="BI535" t="str">
        <f>""</f>
        <v/>
      </c>
      <c r="BJ535" t="str">
        <f t="shared" si="478"/>
        <v>MASTER01</v>
      </c>
      <c r="BK535" t="str">
        <f t="shared" si="483"/>
        <v>2022/01/27</v>
      </c>
      <c r="BL535" t="str">
        <f t="shared" si="473"/>
        <v>NE00</v>
      </c>
      <c r="BM535" t="str">
        <f t="shared" si="474"/>
        <v>１工工務Ｇ</v>
      </c>
      <c r="BN535" t="str">
        <f t="shared" si="484"/>
        <v>39091</v>
      </c>
      <c r="BO535" t="str">
        <f t="shared" si="485"/>
        <v>佐竹　良太</v>
      </c>
    </row>
    <row r="536" spans="1:67">
      <c r="A536" t="s">
        <v>614</v>
      </c>
      <c r="B536" t="str">
        <f>""</f>
        <v/>
      </c>
      <c r="C536" t="str">
        <f>""</f>
        <v/>
      </c>
      <c r="D536" t="s">
        <v>107</v>
      </c>
      <c r="E536" t="str">
        <f t="shared" si="462"/>
        <v>1Y</v>
      </c>
      <c r="F536" t="str">
        <f t="shared" si="463"/>
        <v>第１工場</v>
      </c>
      <c r="G536" t="str">
        <f t="shared" si="475"/>
        <v>直送</v>
      </c>
      <c r="H536" t="str">
        <f t="shared" si="465"/>
        <v>Ｐ</v>
      </c>
      <c r="I536" t="str">
        <f t="shared" ref="I536:I545" si="486">"0005"</f>
        <v>0005</v>
      </c>
      <c r="J536" t="str">
        <f t="shared" ref="J536:J545" si="487">"アイシン軽金属（株）"</f>
        <v>アイシン軽金属（株）</v>
      </c>
      <c r="K536" t="str">
        <f t="shared" si="455"/>
        <v>01</v>
      </c>
      <c r="L536" t="str">
        <f>"本社工場（大和高速分）"</f>
        <v>本社工場（大和高速分）</v>
      </c>
      <c r="M536" t="str">
        <f t="shared" si="449"/>
        <v>――</v>
      </c>
      <c r="N536" t="str">
        <f t="shared" si="449"/>
        <v>――</v>
      </c>
      <c r="O536" t="str">
        <f t="shared" si="476"/>
        <v>Ｐ</v>
      </c>
      <c r="P536" t="str">
        <f t="shared" ref="P536:P545" si="488">"2041"</f>
        <v>2041</v>
      </c>
      <c r="Q536" t="str">
        <f t="shared" ref="Q536:Q545" si="489">"（株）アイシン福井"</f>
        <v>（株）アイシン福井</v>
      </c>
      <c r="R536" t="str">
        <f t="shared" ref="R536:R551" si="490">"01"</f>
        <v>01</v>
      </c>
      <c r="S536" t="str">
        <f t="shared" ref="S536:S545" si="491">"本社工場"</f>
        <v>本社工場</v>
      </c>
      <c r="T536" t="str">
        <f t="shared" si="471"/>
        <v>直接</v>
      </c>
      <c r="U536" t="str">
        <f>""</f>
        <v/>
      </c>
      <c r="V536" t="str">
        <f>""</f>
        <v/>
      </c>
      <c r="W536" t="str">
        <f>""</f>
        <v/>
      </c>
      <c r="X536">
        <v>1</v>
      </c>
      <c r="Y536">
        <v>1</v>
      </c>
      <c r="Z536">
        <v>1</v>
      </c>
      <c r="AA536">
        <v>1.25</v>
      </c>
      <c r="AB536">
        <v>3</v>
      </c>
      <c r="AC536">
        <v>1.25</v>
      </c>
      <c r="AD536">
        <v>1.25</v>
      </c>
      <c r="AE536">
        <v>1.1000000000000001</v>
      </c>
      <c r="AF536">
        <v>0.5</v>
      </c>
      <c r="AG536" t="str">
        <f t="shared" ref="AG536:AG545" si="492">"069"</f>
        <v>069</v>
      </c>
      <c r="AH536" t="str">
        <f t="shared" ref="AH536:AH545" si="493">"アイシン軽金属（株）"</f>
        <v>アイシン軽金属（株）</v>
      </c>
      <c r="AI536" t="str">
        <f>"001"</f>
        <v>001</v>
      </c>
      <c r="AJ536" t="str">
        <f t="shared" si="480"/>
        <v>CHOKUSOU</v>
      </c>
      <c r="AK536" t="str">
        <f>""</f>
        <v/>
      </c>
      <c r="AL536" t="str">
        <f>"0641"</f>
        <v>0641</v>
      </c>
      <c r="AM536" t="str">
        <f>"ｹ-ｽ T/A"</f>
        <v>ｹ-ｽ T/A</v>
      </c>
      <c r="AN536" t="str">
        <f t="shared" ref="AN536:AN545" si="494">"003"</f>
        <v>003</v>
      </c>
      <c r="AO536" t="str">
        <f t="shared" ref="AO536:AO545" si="495">"Aﾊﾟﾚ ﾊﾝﾖｳ"</f>
        <v>Aﾊﾟﾚ ﾊﾝﾖｳ</v>
      </c>
      <c r="AP536">
        <v>20</v>
      </c>
      <c r="AQ536" t="str">
        <f>""</f>
        <v/>
      </c>
      <c r="AR536" t="str">
        <f>""</f>
        <v/>
      </c>
      <c r="AS536" t="str">
        <f>""</f>
        <v/>
      </c>
      <c r="AT536" t="str">
        <f t="shared" si="461"/>
        <v>00</v>
      </c>
      <c r="AU536">
        <v>0.5</v>
      </c>
      <c r="AV536" t="str">
        <f>""</f>
        <v/>
      </c>
      <c r="AW536" t="str">
        <f>""</f>
        <v/>
      </c>
      <c r="AX536" t="str">
        <f>""</f>
        <v/>
      </c>
      <c r="AY536" t="str">
        <f>""</f>
        <v/>
      </c>
      <c r="AZ536" t="str">
        <f>""</f>
        <v/>
      </c>
      <c r="BA536" t="str">
        <f>""</f>
        <v/>
      </c>
      <c r="BB536" t="str">
        <f>""</f>
        <v/>
      </c>
      <c r="BC536" t="str">
        <f t="shared" si="482"/>
        <v xml:space="preserve">   0.000</v>
      </c>
      <c r="BD536" t="str">
        <f t="shared" si="482"/>
        <v xml:space="preserve">   0.000</v>
      </c>
      <c r="BE536" t="str">
        <f t="shared" si="482"/>
        <v xml:space="preserve">   0.000</v>
      </c>
      <c r="BF536" t="str">
        <f t="shared" si="482"/>
        <v xml:space="preserve">   0.000</v>
      </c>
      <c r="BG536" t="str">
        <f t="shared" si="482"/>
        <v xml:space="preserve">   0.000</v>
      </c>
      <c r="BH536" t="str">
        <f t="shared" si="448"/>
        <v>しない</v>
      </c>
      <c r="BI536" t="str">
        <f>""</f>
        <v/>
      </c>
      <c r="BJ536" t="str">
        <f t="shared" si="478"/>
        <v>MASTER01</v>
      </c>
      <c r="BK536" t="str">
        <f t="shared" si="483"/>
        <v>2022/01/27</v>
      </c>
      <c r="BL536" t="str">
        <f t="shared" si="473"/>
        <v>NE00</v>
      </c>
      <c r="BM536" t="str">
        <f t="shared" si="474"/>
        <v>１工工務Ｇ</v>
      </c>
      <c r="BN536" t="str">
        <f t="shared" si="484"/>
        <v>39091</v>
      </c>
      <c r="BO536" t="str">
        <f t="shared" si="485"/>
        <v>佐竹　良太</v>
      </c>
    </row>
    <row r="537" spans="1:67">
      <c r="A537" t="s">
        <v>614</v>
      </c>
      <c r="B537" t="str">
        <f>""</f>
        <v/>
      </c>
      <c r="C537" t="str">
        <f>""</f>
        <v/>
      </c>
      <c r="D537" t="s">
        <v>107</v>
      </c>
      <c r="E537" t="str">
        <f t="shared" si="462"/>
        <v>1Y</v>
      </c>
      <c r="F537" t="str">
        <f t="shared" si="463"/>
        <v>第１工場</v>
      </c>
      <c r="G537" t="str">
        <f t="shared" si="475"/>
        <v>直送</v>
      </c>
      <c r="H537" t="str">
        <f t="shared" si="465"/>
        <v>Ｐ</v>
      </c>
      <c r="I537" t="str">
        <f t="shared" si="486"/>
        <v>0005</v>
      </c>
      <c r="J537" t="str">
        <f t="shared" si="487"/>
        <v>アイシン軽金属（株）</v>
      </c>
      <c r="K537" t="str">
        <f>"09"</f>
        <v>09</v>
      </c>
      <c r="L537" t="str">
        <f>"サンエツ福井"</f>
        <v>サンエツ福井</v>
      </c>
      <c r="M537" t="str">
        <f t="shared" si="449"/>
        <v>――</v>
      </c>
      <c r="N537" t="str">
        <f t="shared" si="449"/>
        <v>――</v>
      </c>
      <c r="O537" t="str">
        <f t="shared" si="476"/>
        <v>Ｐ</v>
      </c>
      <c r="P537" t="str">
        <f t="shared" si="488"/>
        <v>2041</v>
      </c>
      <c r="Q537" t="str">
        <f t="shared" si="489"/>
        <v>（株）アイシン福井</v>
      </c>
      <c r="R537" t="str">
        <f t="shared" si="490"/>
        <v>01</v>
      </c>
      <c r="S537" t="str">
        <f t="shared" si="491"/>
        <v>本社工場</v>
      </c>
      <c r="T537" t="str">
        <f t="shared" si="471"/>
        <v>直接</v>
      </c>
      <c r="U537" t="str">
        <f>""</f>
        <v/>
      </c>
      <c r="V537" t="str">
        <f>""</f>
        <v/>
      </c>
      <c r="W537" t="str">
        <f>""</f>
        <v/>
      </c>
      <c r="X537">
        <v>1</v>
      </c>
      <c r="Y537">
        <v>1</v>
      </c>
      <c r="Z537">
        <v>1</v>
      </c>
      <c r="AA537">
        <v>1.25</v>
      </c>
      <c r="AB537">
        <v>3</v>
      </c>
      <c r="AC537">
        <v>1.25</v>
      </c>
      <c r="AD537">
        <v>1.25</v>
      </c>
      <c r="AE537">
        <v>1.1000000000000001</v>
      </c>
      <c r="AF537">
        <v>0.5</v>
      </c>
      <c r="AG537" t="str">
        <f t="shared" si="492"/>
        <v>069</v>
      </c>
      <c r="AH537" t="str">
        <f t="shared" si="493"/>
        <v>アイシン軽金属（株）</v>
      </c>
      <c r="AI537" t="str">
        <f>"001"</f>
        <v>001</v>
      </c>
      <c r="AJ537" t="str">
        <f t="shared" si="480"/>
        <v>CHOKUSOU</v>
      </c>
      <c r="AK537" t="str">
        <f>""</f>
        <v/>
      </c>
      <c r="AL537" t="str">
        <f>"0641"</f>
        <v>0641</v>
      </c>
      <c r="AM537" t="str">
        <f>"ｹ-ｽ T/A"</f>
        <v>ｹ-ｽ T/A</v>
      </c>
      <c r="AN537" t="str">
        <f t="shared" si="494"/>
        <v>003</v>
      </c>
      <c r="AO537" t="str">
        <f t="shared" si="495"/>
        <v>Aﾊﾟﾚ ﾊﾝﾖｳ</v>
      </c>
      <c r="AP537">
        <v>20</v>
      </c>
      <c r="AQ537" t="str">
        <f>""</f>
        <v/>
      </c>
      <c r="AR537" t="str">
        <f>""</f>
        <v/>
      </c>
      <c r="AS537" t="str">
        <f>""</f>
        <v/>
      </c>
      <c r="AT537" t="str">
        <f t="shared" si="461"/>
        <v>00</v>
      </c>
      <c r="AU537">
        <v>0.5</v>
      </c>
      <c r="AV537" t="str">
        <f>""</f>
        <v/>
      </c>
      <c r="AW537" t="str">
        <f>""</f>
        <v/>
      </c>
      <c r="AX537" t="str">
        <f>""</f>
        <v/>
      </c>
      <c r="AY537" t="str">
        <f>""</f>
        <v/>
      </c>
      <c r="AZ537" t="str">
        <f>""</f>
        <v/>
      </c>
      <c r="BA537" t="str">
        <f>""</f>
        <v/>
      </c>
      <c r="BB537" t="str">
        <f>""</f>
        <v/>
      </c>
      <c r="BC537" t="str">
        <f t="shared" si="482"/>
        <v xml:space="preserve">   0.000</v>
      </c>
      <c r="BD537" t="str">
        <f t="shared" si="482"/>
        <v xml:space="preserve">   0.000</v>
      </c>
      <c r="BE537" t="str">
        <f t="shared" si="482"/>
        <v xml:space="preserve">   0.000</v>
      </c>
      <c r="BF537" t="str">
        <f t="shared" si="482"/>
        <v xml:space="preserve">   0.000</v>
      </c>
      <c r="BG537" t="str">
        <f t="shared" si="482"/>
        <v xml:space="preserve">   0.000</v>
      </c>
      <c r="BH537" t="str">
        <f t="shared" si="448"/>
        <v>しない</v>
      </c>
      <c r="BI537" t="str">
        <f>""</f>
        <v/>
      </c>
      <c r="BJ537" t="str">
        <f t="shared" si="478"/>
        <v>MASTER01</v>
      </c>
      <c r="BK537" t="str">
        <f t="shared" si="483"/>
        <v>2022/01/27</v>
      </c>
      <c r="BL537" t="str">
        <f t="shared" si="473"/>
        <v>NE00</v>
      </c>
      <c r="BM537" t="str">
        <f t="shared" si="474"/>
        <v>１工工務Ｇ</v>
      </c>
      <c r="BN537" t="str">
        <f t="shared" si="484"/>
        <v>39091</v>
      </c>
      <c r="BO537" t="str">
        <f t="shared" si="485"/>
        <v>佐竹　良太</v>
      </c>
    </row>
    <row r="538" spans="1:67">
      <c r="A538" t="s">
        <v>615</v>
      </c>
      <c r="B538" t="str">
        <f>""</f>
        <v/>
      </c>
      <c r="C538" t="str">
        <f>""</f>
        <v/>
      </c>
      <c r="D538" t="s">
        <v>107</v>
      </c>
      <c r="E538" t="str">
        <f t="shared" si="462"/>
        <v>1Y</v>
      </c>
      <c r="F538" t="str">
        <f t="shared" si="463"/>
        <v>第１工場</v>
      </c>
      <c r="G538" t="str">
        <f t="shared" si="475"/>
        <v>直送</v>
      </c>
      <c r="H538" t="str">
        <f t="shared" si="465"/>
        <v>Ｐ</v>
      </c>
      <c r="I538" t="str">
        <f t="shared" si="486"/>
        <v>0005</v>
      </c>
      <c r="J538" t="str">
        <f t="shared" si="487"/>
        <v>アイシン軽金属（株）</v>
      </c>
      <c r="K538" t="str">
        <f>"01"</f>
        <v>01</v>
      </c>
      <c r="L538" t="str">
        <f>"本社工場（大和高速分）"</f>
        <v>本社工場（大和高速分）</v>
      </c>
      <c r="M538" t="str">
        <f t="shared" si="449"/>
        <v>――</v>
      </c>
      <c r="N538" t="str">
        <f t="shared" si="449"/>
        <v>――</v>
      </c>
      <c r="O538" t="str">
        <f t="shared" si="476"/>
        <v>Ｐ</v>
      </c>
      <c r="P538" t="str">
        <f t="shared" si="488"/>
        <v>2041</v>
      </c>
      <c r="Q538" t="str">
        <f t="shared" si="489"/>
        <v>（株）アイシン福井</v>
      </c>
      <c r="R538" t="str">
        <f t="shared" si="490"/>
        <v>01</v>
      </c>
      <c r="S538" t="str">
        <f t="shared" si="491"/>
        <v>本社工場</v>
      </c>
      <c r="T538" t="str">
        <f t="shared" si="471"/>
        <v>直接</v>
      </c>
      <c r="U538" t="str">
        <f>""</f>
        <v/>
      </c>
      <c r="V538" t="str">
        <f>""</f>
        <v/>
      </c>
      <c r="W538" t="str">
        <f>""</f>
        <v/>
      </c>
      <c r="X538">
        <v>1</v>
      </c>
      <c r="Y538">
        <v>1</v>
      </c>
      <c r="Z538">
        <v>1</v>
      </c>
      <c r="AA538">
        <v>1.25</v>
      </c>
      <c r="AB538">
        <v>3</v>
      </c>
      <c r="AC538">
        <v>1.25</v>
      </c>
      <c r="AD538">
        <v>1.25</v>
      </c>
      <c r="AE538">
        <v>1.1000000000000001</v>
      </c>
      <c r="AF538">
        <v>0.5</v>
      </c>
      <c r="AG538" t="str">
        <f t="shared" si="492"/>
        <v>069</v>
      </c>
      <c r="AH538" t="str">
        <f t="shared" si="493"/>
        <v>アイシン軽金属（株）</v>
      </c>
      <c r="AI538" t="str">
        <f>"002"</f>
        <v>002</v>
      </c>
      <c r="AJ538" t="str">
        <f t="shared" si="480"/>
        <v>CHOKUSOU</v>
      </c>
      <c r="AK538" t="str">
        <f>""</f>
        <v/>
      </c>
      <c r="AL538" t="str">
        <f>"0641"</f>
        <v>0641</v>
      </c>
      <c r="AM538" t="str">
        <f>"ｹ-ｽ T/A"</f>
        <v>ｹ-ｽ T/A</v>
      </c>
      <c r="AN538" t="str">
        <f t="shared" si="494"/>
        <v>003</v>
      </c>
      <c r="AO538" t="str">
        <f t="shared" si="495"/>
        <v>Aﾊﾟﾚ ﾊﾝﾖｳ</v>
      </c>
      <c r="AP538">
        <v>36</v>
      </c>
      <c r="AQ538" t="str">
        <f>""</f>
        <v/>
      </c>
      <c r="AR538" t="str">
        <f>""</f>
        <v/>
      </c>
      <c r="AS538" t="str">
        <f>""</f>
        <v/>
      </c>
      <c r="AT538" t="str">
        <f t="shared" si="461"/>
        <v>00</v>
      </c>
      <c r="AU538">
        <v>0.5</v>
      </c>
      <c r="AV538" t="str">
        <f>""</f>
        <v/>
      </c>
      <c r="AW538" t="str">
        <f>""</f>
        <v/>
      </c>
      <c r="AX538" t="str">
        <f>""</f>
        <v/>
      </c>
      <c r="AY538" t="str">
        <f>""</f>
        <v/>
      </c>
      <c r="AZ538" t="str">
        <f>""</f>
        <v/>
      </c>
      <c r="BA538" t="str">
        <f>""</f>
        <v/>
      </c>
      <c r="BB538" t="str">
        <f>""</f>
        <v/>
      </c>
      <c r="BC538" t="str">
        <f t="shared" si="482"/>
        <v xml:space="preserve">   0.000</v>
      </c>
      <c r="BD538" t="str">
        <f t="shared" si="482"/>
        <v xml:space="preserve">   0.000</v>
      </c>
      <c r="BE538" t="str">
        <f t="shared" si="482"/>
        <v xml:space="preserve">   0.000</v>
      </c>
      <c r="BF538" t="str">
        <f t="shared" si="482"/>
        <v xml:space="preserve">   0.000</v>
      </c>
      <c r="BG538" t="str">
        <f t="shared" si="482"/>
        <v xml:space="preserve">   0.000</v>
      </c>
      <c r="BH538" t="str">
        <f t="shared" si="448"/>
        <v>しない</v>
      </c>
      <c r="BI538" t="str">
        <f>""</f>
        <v/>
      </c>
      <c r="BJ538" t="str">
        <f t="shared" si="478"/>
        <v>MASTER01</v>
      </c>
      <c r="BK538" t="str">
        <f t="shared" si="483"/>
        <v>2022/01/27</v>
      </c>
      <c r="BL538" t="str">
        <f t="shared" si="473"/>
        <v>NE00</v>
      </c>
      <c r="BM538" t="str">
        <f t="shared" si="474"/>
        <v>１工工務Ｇ</v>
      </c>
      <c r="BN538" t="str">
        <f t="shared" si="484"/>
        <v>39091</v>
      </c>
      <c r="BO538" t="str">
        <f t="shared" si="485"/>
        <v>佐竹　良太</v>
      </c>
    </row>
    <row r="539" spans="1:67">
      <c r="A539" t="s">
        <v>615</v>
      </c>
      <c r="B539" t="str">
        <f>""</f>
        <v/>
      </c>
      <c r="C539" t="str">
        <f>""</f>
        <v/>
      </c>
      <c r="D539" t="s">
        <v>107</v>
      </c>
      <c r="E539" t="str">
        <f t="shared" si="462"/>
        <v>1Y</v>
      </c>
      <c r="F539" t="str">
        <f t="shared" si="463"/>
        <v>第１工場</v>
      </c>
      <c r="G539" t="str">
        <f t="shared" si="475"/>
        <v>直送</v>
      </c>
      <c r="H539" t="str">
        <f t="shared" si="465"/>
        <v>Ｐ</v>
      </c>
      <c r="I539" t="str">
        <f t="shared" si="486"/>
        <v>0005</v>
      </c>
      <c r="J539" t="str">
        <f t="shared" si="487"/>
        <v>アイシン軽金属（株）</v>
      </c>
      <c r="K539" t="str">
        <f>"09"</f>
        <v>09</v>
      </c>
      <c r="L539" t="str">
        <f>"サンエツ福井"</f>
        <v>サンエツ福井</v>
      </c>
      <c r="M539" t="str">
        <f t="shared" si="449"/>
        <v>――</v>
      </c>
      <c r="N539" t="str">
        <f t="shared" si="449"/>
        <v>――</v>
      </c>
      <c r="O539" t="str">
        <f t="shared" si="476"/>
        <v>Ｐ</v>
      </c>
      <c r="P539" t="str">
        <f t="shared" si="488"/>
        <v>2041</v>
      </c>
      <c r="Q539" t="str">
        <f t="shared" si="489"/>
        <v>（株）アイシン福井</v>
      </c>
      <c r="R539" t="str">
        <f t="shared" si="490"/>
        <v>01</v>
      </c>
      <c r="S539" t="str">
        <f t="shared" si="491"/>
        <v>本社工場</v>
      </c>
      <c r="T539" t="str">
        <f t="shared" si="471"/>
        <v>直接</v>
      </c>
      <c r="U539" t="str">
        <f>""</f>
        <v/>
      </c>
      <c r="V539" t="str">
        <f>""</f>
        <v/>
      </c>
      <c r="W539" t="str">
        <f>""</f>
        <v/>
      </c>
      <c r="X539">
        <v>1</v>
      </c>
      <c r="Y539">
        <v>1</v>
      </c>
      <c r="Z539">
        <v>1</v>
      </c>
      <c r="AA539">
        <v>1.25</v>
      </c>
      <c r="AB539">
        <v>3</v>
      </c>
      <c r="AC539">
        <v>1.25</v>
      </c>
      <c r="AD539">
        <v>1.25</v>
      </c>
      <c r="AE539">
        <v>1.1000000000000001</v>
      </c>
      <c r="AF539">
        <v>0.5</v>
      </c>
      <c r="AG539" t="str">
        <f t="shared" si="492"/>
        <v>069</v>
      </c>
      <c r="AH539" t="str">
        <f t="shared" si="493"/>
        <v>アイシン軽金属（株）</v>
      </c>
      <c r="AI539" t="str">
        <f>"002"</f>
        <v>002</v>
      </c>
      <c r="AJ539" t="str">
        <f t="shared" si="480"/>
        <v>CHOKUSOU</v>
      </c>
      <c r="AK539" t="str">
        <f>""</f>
        <v/>
      </c>
      <c r="AL539" t="str">
        <f>"0641"</f>
        <v>0641</v>
      </c>
      <c r="AM539" t="str">
        <f>"ｹ-ｽ T/A"</f>
        <v>ｹ-ｽ T/A</v>
      </c>
      <c r="AN539" t="str">
        <f t="shared" si="494"/>
        <v>003</v>
      </c>
      <c r="AO539" t="str">
        <f t="shared" si="495"/>
        <v>Aﾊﾟﾚ ﾊﾝﾖｳ</v>
      </c>
      <c r="AP539">
        <v>36</v>
      </c>
      <c r="AQ539" t="str">
        <f>""</f>
        <v/>
      </c>
      <c r="AR539" t="str">
        <f>""</f>
        <v/>
      </c>
      <c r="AS539" t="str">
        <f>""</f>
        <v/>
      </c>
      <c r="AT539" t="str">
        <f t="shared" si="461"/>
        <v>00</v>
      </c>
      <c r="AU539">
        <v>0.5</v>
      </c>
      <c r="AV539" t="str">
        <f>""</f>
        <v/>
      </c>
      <c r="AW539" t="str">
        <f>""</f>
        <v/>
      </c>
      <c r="AX539" t="str">
        <f>""</f>
        <v/>
      </c>
      <c r="AY539" t="str">
        <f>""</f>
        <v/>
      </c>
      <c r="AZ539" t="str">
        <f>""</f>
        <v/>
      </c>
      <c r="BA539" t="str">
        <f>""</f>
        <v/>
      </c>
      <c r="BB539" t="str">
        <f>""</f>
        <v/>
      </c>
      <c r="BC539" t="str">
        <f t="shared" si="482"/>
        <v xml:space="preserve">   0.000</v>
      </c>
      <c r="BD539" t="str">
        <f t="shared" si="482"/>
        <v xml:space="preserve">   0.000</v>
      </c>
      <c r="BE539" t="str">
        <f t="shared" si="482"/>
        <v xml:space="preserve">   0.000</v>
      </c>
      <c r="BF539" t="str">
        <f t="shared" si="482"/>
        <v xml:space="preserve">   0.000</v>
      </c>
      <c r="BG539" t="str">
        <f t="shared" si="482"/>
        <v xml:space="preserve">   0.000</v>
      </c>
      <c r="BH539" t="str">
        <f t="shared" si="448"/>
        <v>しない</v>
      </c>
      <c r="BI539" t="str">
        <f>""</f>
        <v/>
      </c>
      <c r="BJ539" t="str">
        <f t="shared" si="478"/>
        <v>MASTER01</v>
      </c>
      <c r="BK539" t="str">
        <f t="shared" si="483"/>
        <v>2022/01/27</v>
      </c>
      <c r="BL539" t="str">
        <f t="shared" si="473"/>
        <v>NE00</v>
      </c>
      <c r="BM539" t="str">
        <f t="shared" si="474"/>
        <v>１工工務Ｇ</v>
      </c>
      <c r="BN539" t="str">
        <f t="shared" si="484"/>
        <v>39091</v>
      </c>
      <c r="BO539" t="str">
        <f t="shared" si="485"/>
        <v>佐竹　良太</v>
      </c>
    </row>
    <row r="540" spans="1:67">
      <c r="A540" t="s">
        <v>616</v>
      </c>
      <c r="B540" t="str">
        <f>""</f>
        <v/>
      </c>
      <c r="C540" t="str">
        <f>""</f>
        <v/>
      </c>
      <c r="D540" t="s">
        <v>107</v>
      </c>
      <c r="E540" t="str">
        <f t="shared" si="462"/>
        <v>1Y</v>
      </c>
      <c r="F540" t="str">
        <f t="shared" si="463"/>
        <v>第１工場</v>
      </c>
      <c r="G540" t="str">
        <f t="shared" si="475"/>
        <v>直送</v>
      </c>
      <c r="H540" t="str">
        <f t="shared" si="465"/>
        <v>Ｐ</v>
      </c>
      <c r="I540" t="str">
        <f t="shared" si="486"/>
        <v>0005</v>
      </c>
      <c r="J540" t="str">
        <f t="shared" si="487"/>
        <v>アイシン軽金属（株）</v>
      </c>
      <c r="K540" t="str">
        <f>"01"</f>
        <v>01</v>
      </c>
      <c r="L540" t="str">
        <f>"本社工場（大和高速分）"</f>
        <v>本社工場（大和高速分）</v>
      </c>
      <c r="M540" t="str">
        <f t="shared" si="449"/>
        <v>――</v>
      </c>
      <c r="N540" t="str">
        <f t="shared" si="449"/>
        <v>――</v>
      </c>
      <c r="O540" t="str">
        <f t="shared" si="476"/>
        <v>Ｐ</v>
      </c>
      <c r="P540" t="str">
        <f t="shared" si="488"/>
        <v>2041</v>
      </c>
      <c r="Q540" t="str">
        <f t="shared" si="489"/>
        <v>（株）アイシン福井</v>
      </c>
      <c r="R540" t="str">
        <f t="shared" si="490"/>
        <v>01</v>
      </c>
      <c r="S540" t="str">
        <f t="shared" si="491"/>
        <v>本社工場</v>
      </c>
      <c r="T540" t="str">
        <f t="shared" si="471"/>
        <v>直接</v>
      </c>
      <c r="U540" t="str">
        <f>""</f>
        <v/>
      </c>
      <c r="V540" t="str">
        <f>""</f>
        <v/>
      </c>
      <c r="W540" t="str">
        <f>""</f>
        <v/>
      </c>
      <c r="X540">
        <v>1</v>
      </c>
      <c r="Y540">
        <v>1</v>
      </c>
      <c r="Z540">
        <v>1</v>
      </c>
      <c r="AA540">
        <v>1.25</v>
      </c>
      <c r="AB540">
        <v>3</v>
      </c>
      <c r="AC540">
        <v>1.25</v>
      </c>
      <c r="AD540">
        <v>1.25</v>
      </c>
      <c r="AE540">
        <v>1.1000000000000001</v>
      </c>
      <c r="AF540">
        <v>0.5</v>
      </c>
      <c r="AG540" t="str">
        <f t="shared" si="492"/>
        <v>069</v>
      </c>
      <c r="AH540" t="str">
        <f t="shared" si="493"/>
        <v>アイシン軽金属（株）</v>
      </c>
      <c r="AI540" t="str">
        <f>"005"</f>
        <v>005</v>
      </c>
      <c r="AJ540" t="str">
        <f t="shared" si="480"/>
        <v>CHOKUSOU</v>
      </c>
      <c r="AK540" t="str">
        <f>""</f>
        <v/>
      </c>
      <c r="AL540" t="str">
        <f>"0641"</f>
        <v>0641</v>
      </c>
      <c r="AM540" t="str">
        <f>"ｹ-ｽ T/A"</f>
        <v>ｹ-ｽ T/A</v>
      </c>
      <c r="AN540" t="str">
        <f t="shared" si="494"/>
        <v>003</v>
      </c>
      <c r="AO540" t="str">
        <f t="shared" si="495"/>
        <v>Aﾊﾟﾚ ﾊﾝﾖｳ</v>
      </c>
      <c r="AP540">
        <v>15</v>
      </c>
      <c r="AQ540" t="str">
        <f>""</f>
        <v/>
      </c>
      <c r="AR540" t="str">
        <f>""</f>
        <v/>
      </c>
      <c r="AS540" t="str">
        <f>""</f>
        <v/>
      </c>
      <c r="AT540" t="str">
        <f t="shared" si="461"/>
        <v>00</v>
      </c>
      <c r="AU540">
        <v>0.5</v>
      </c>
      <c r="AV540" t="str">
        <f>""</f>
        <v/>
      </c>
      <c r="AW540" t="str">
        <f>""</f>
        <v/>
      </c>
      <c r="AX540" t="str">
        <f>""</f>
        <v/>
      </c>
      <c r="AY540" t="str">
        <f>""</f>
        <v/>
      </c>
      <c r="AZ540" t="str">
        <f>""</f>
        <v/>
      </c>
      <c r="BA540" t="str">
        <f>""</f>
        <v/>
      </c>
      <c r="BB540" t="str">
        <f>""</f>
        <v/>
      </c>
      <c r="BC540" t="str">
        <f>" 800.000"</f>
        <v xml:space="preserve"> 800.000</v>
      </c>
      <c r="BD540" t="str">
        <f>" 850.000"</f>
        <v xml:space="preserve"> 850.000</v>
      </c>
      <c r="BE540" t="str">
        <f>" 680.000"</f>
        <v xml:space="preserve"> 680.000</v>
      </c>
      <c r="BF540" t="str">
        <f>"   0.462"</f>
        <v xml:space="preserve">   0.462</v>
      </c>
      <c r="BG540" t="str">
        <f>" 178.000"</f>
        <v xml:space="preserve"> 178.000</v>
      </c>
      <c r="BH540" t="str">
        <f t="shared" si="448"/>
        <v>しない</v>
      </c>
      <c r="BI540" t="str">
        <f>""</f>
        <v/>
      </c>
      <c r="BJ540" t="str">
        <f t="shared" si="478"/>
        <v>MASTER01</v>
      </c>
      <c r="BK540" t="str">
        <f>"2023/01/17"</f>
        <v>2023/01/17</v>
      </c>
      <c r="BL540" t="str">
        <f t="shared" si="473"/>
        <v>NE00</v>
      </c>
      <c r="BM540" t="str">
        <f t="shared" si="474"/>
        <v>１工工務Ｇ</v>
      </c>
      <c r="BN540" t="str">
        <f>"46548"</f>
        <v>46548</v>
      </c>
      <c r="BO540" t="str">
        <f>"長畑　玲奈"</f>
        <v>長畑　玲奈</v>
      </c>
    </row>
    <row r="541" spans="1:67">
      <c r="A541" t="s">
        <v>617</v>
      </c>
      <c r="B541" t="str">
        <f>""</f>
        <v/>
      </c>
      <c r="C541" t="str">
        <f>""</f>
        <v/>
      </c>
      <c r="D541" t="s">
        <v>108</v>
      </c>
      <c r="E541" t="str">
        <f t="shared" si="462"/>
        <v>1Y</v>
      </c>
      <c r="F541" t="str">
        <f t="shared" si="463"/>
        <v>第１工場</v>
      </c>
      <c r="G541" t="str">
        <f t="shared" si="475"/>
        <v>直送</v>
      </c>
      <c r="H541" t="str">
        <f t="shared" si="465"/>
        <v>Ｐ</v>
      </c>
      <c r="I541" t="str">
        <f t="shared" si="486"/>
        <v>0005</v>
      </c>
      <c r="J541" t="str">
        <f t="shared" si="487"/>
        <v>アイシン軽金属（株）</v>
      </c>
      <c r="K541" t="str">
        <f>"01"</f>
        <v>01</v>
      </c>
      <c r="L541" t="str">
        <f>"本社工場（大和高速分）"</f>
        <v>本社工場（大和高速分）</v>
      </c>
      <c r="M541" t="str">
        <f t="shared" si="449"/>
        <v>――</v>
      </c>
      <c r="N541" t="str">
        <f t="shared" si="449"/>
        <v>――</v>
      </c>
      <c r="O541" t="str">
        <f t="shared" si="476"/>
        <v>Ｐ</v>
      </c>
      <c r="P541" t="str">
        <f t="shared" si="488"/>
        <v>2041</v>
      </c>
      <c r="Q541" t="str">
        <f t="shared" si="489"/>
        <v>（株）アイシン福井</v>
      </c>
      <c r="R541" t="str">
        <f t="shared" si="490"/>
        <v>01</v>
      </c>
      <c r="S541" t="str">
        <f t="shared" si="491"/>
        <v>本社工場</v>
      </c>
      <c r="T541" t="str">
        <f t="shared" si="471"/>
        <v>直接</v>
      </c>
      <c r="U541" t="str">
        <f>""</f>
        <v/>
      </c>
      <c r="V541" t="str">
        <f>""</f>
        <v/>
      </c>
      <c r="W541" t="str">
        <f>""</f>
        <v/>
      </c>
      <c r="X541">
        <v>1</v>
      </c>
      <c r="Y541">
        <v>1</v>
      </c>
      <c r="Z541">
        <v>1</v>
      </c>
      <c r="AA541">
        <v>1.25</v>
      </c>
      <c r="AB541">
        <v>3</v>
      </c>
      <c r="AC541">
        <v>1.25</v>
      </c>
      <c r="AD541">
        <v>1.25</v>
      </c>
      <c r="AE541">
        <v>1.1000000000000001</v>
      </c>
      <c r="AF541">
        <v>0.5</v>
      </c>
      <c r="AG541" t="str">
        <f t="shared" si="492"/>
        <v>069</v>
      </c>
      <c r="AH541" t="str">
        <f t="shared" si="493"/>
        <v>アイシン軽金属（株）</v>
      </c>
      <c r="AI541" t="str">
        <f>"003"</f>
        <v>003</v>
      </c>
      <c r="AJ541" t="str">
        <f t="shared" si="480"/>
        <v>CHOKUSOU</v>
      </c>
      <c r="AK541" t="str">
        <f>""</f>
        <v/>
      </c>
      <c r="AL541" t="str">
        <f>"9202"</f>
        <v>9202</v>
      </c>
      <c r="AM541" t="s">
        <v>53</v>
      </c>
      <c r="AN541" t="str">
        <f t="shared" si="494"/>
        <v>003</v>
      </c>
      <c r="AO541" t="str">
        <f t="shared" si="495"/>
        <v>Aﾊﾟﾚ ﾊﾝﾖｳ</v>
      </c>
      <c r="AP541">
        <v>30</v>
      </c>
      <c r="AQ541" t="str">
        <f>""</f>
        <v/>
      </c>
      <c r="AR541" t="str">
        <f>""</f>
        <v/>
      </c>
      <c r="AS541" t="str">
        <f>""</f>
        <v/>
      </c>
      <c r="AT541" t="str">
        <f t="shared" si="461"/>
        <v>00</v>
      </c>
      <c r="AU541">
        <v>0.5</v>
      </c>
      <c r="AV541" t="str">
        <f>""</f>
        <v/>
      </c>
      <c r="AW541" t="str">
        <f>""</f>
        <v/>
      </c>
      <c r="AX541" t="str">
        <f>""</f>
        <v/>
      </c>
      <c r="AY541" t="str">
        <f>""</f>
        <v/>
      </c>
      <c r="AZ541" t="str">
        <f>""</f>
        <v/>
      </c>
      <c r="BA541" t="str">
        <f>""</f>
        <v/>
      </c>
      <c r="BB541" t="str">
        <f>""</f>
        <v/>
      </c>
      <c r="BC541" t="str">
        <f t="shared" ref="BC541:BG544" si="496">"   0.000"</f>
        <v xml:space="preserve">   0.000</v>
      </c>
      <c r="BD541" t="str">
        <f t="shared" si="496"/>
        <v xml:space="preserve">   0.000</v>
      </c>
      <c r="BE541" t="str">
        <f t="shared" si="496"/>
        <v xml:space="preserve">   0.000</v>
      </c>
      <c r="BF541" t="str">
        <f t="shared" si="496"/>
        <v xml:space="preserve">   0.000</v>
      </c>
      <c r="BG541" t="str">
        <f t="shared" si="496"/>
        <v xml:space="preserve">   0.000</v>
      </c>
      <c r="BH541" t="str">
        <f t="shared" si="448"/>
        <v>しない</v>
      </c>
      <c r="BI541" t="str">
        <f>""</f>
        <v/>
      </c>
      <c r="BJ541" t="str">
        <f t="shared" si="478"/>
        <v>MASTER01</v>
      </c>
      <c r="BK541" t="str">
        <f>"2022/01/27"</f>
        <v>2022/01/27</v>
      </c>
      <c r="BL541" t="str">
        <f t="shared" si="473"/>
        <v>NE00</v>
      </c>
      <c r="BM541" t="str">
        <f t="shared" si="474"/>
        <v>１工工務Ｇ</v>
      </c>
      <c r="BN541" t="str">
        <f>"39091"</f>
        <v>39091</v>
      </c>
      <c r="BO541" t="str">
        <f>"佐竹　良太"</f>
        <v>佐竹　良太</v>
      </c>
    </row>
    <row r="542" spans="1:67">
      <c r="A542" t="s">
        <v>617</v>
      </c>
      <c r="B542" t="str">
        <f>""</f>
        <v/>
      </c>
      <c r="C542" t="str">
        <f>""</f>
        <v/>
      </c>
      <c r="D542" t="s">
        <v>108</v>
      </c>
      <c r="E542" t="str">
        <f t="shared" si="462"/>
        <v>1Y</v>
      </c>
      <c r="F542" t="str">
        <f t="shared" si="463"/>
        <v>第１工場</v>
      </c>
      <c r="G542" t="str">
        <f t="shared" si="475"/>
        <v>直送</v>
      </c>
      <c r="H542" t="str">
        <f t="shared" si="465"/>
        <v>Ｐ</v>
      </c>
      <c r="I542" t="str">
        <f t="shared" si="486"/>
        <v>0005</v>
      </c>
      <c r="J542" t="str">
        <f t="shared" si="487"/>
        <v>アイシン軽金属（株）</v>
      </c>
      <c r="K542" t="str">
        <f>"09"</f>
        <v>09</v>
      </c>
      <c r="L542" t="str">
        <f>"サンエツ福井"</f>
        <v>サンエツ福井</v>
      </c>
      <c r="M542" t="str">
        <f t="shared" si="449"/>
        <v>――</v>
      </c>
      <c r="N542" t="str">
        <f t="shared" si="449"/>
        <v>――</v>
      </c>
      <c r="O542" t="str">
        <f t="shared" si="476"/>
        <v>Ｐ</v>
      </c>
      <c r="P542" t="str">
        <f t="shared" si="488"/>
        <v>2041</v>
      </c>
      <c r="Q542" t="str">
        <f t="shared" si="489"/>
        <v>（株）アイシン福井</v>
      </c>
      <c r="R542" t="str">
        <f t="shared" si="490"/>
        <v>01</v>
      </c>
      <c r="S542" t="str">
        <f t="shared" si="491"/>
        <v>本社工場</v>
      </c>
      <c r="T542" t="str">
        <f t="shared" si="471"/>
        <v>直接</v>
      </c>
      <c r="U542" t="str">
        <f>""</f>
        <v/>
      </c>
      <c r="V542" t="str">
        <f>""</f>
        <v/>
      </c>
      <c r="W542" t="str">
        <f>""</f>
        <v/>
      </c>
      <c r="X542">
        <v>1</v>
      </c>
      <c r="Y542">
        <v>1</v>
      </c>
      <c r="Z542">
        <v>1</v>
      </c>
      <c r="AA542">
        <v>1.25</v>
      </c>
      <c r="AB542">
        <v>3</v>
      </c>
      <c r="AC542">
        <v>1.25</v>
      </c>
      <c r="AD542">
        <v>1.25</v>
      </c>
      <c r="AE542">
        <v>1.1000000000000001</v>
      </c>
      <c r="AF542">
        <v>0.5</v>
      </c>
      <c r="AG542" t="str">
        <f t="shared" si="492"/>
        <v>069</v>
      </c>
      <c r="AH542" t="str">
        <f t="shared" si="493"/>
        <v>アイシン軽金属（株）</v>
      </c>
      <c r="AI542" t="str">
        <f>"003"</f>
        <v>003</v>
      </c>
      <c r="AJ542" t="str">
        <f t="shared" si="480"/>
        <v>CHOKUSOU</v>
      </c>
      <c r="AK542" t="str">
        <f>""</f>
        <v/>
      </c>
      <c r="AL542" t="str">
        <f>"9202"</f>
        <v>9202</v>
      </c>
      <c r="AM542" t="s">
        <v>53</v>
      </c>
      <c r="AN542" t="str">
        <f t="shared" si="494"/>
        <v>003</v>
      </c>
      <c r="AO542" t="str">
        <f t="shared" si="495"/>
        <v>Aﾊﾟﾚ ﾊﾝﾖｳ</v>
      </c>
      <c r="AP542">
        <v>30</v>
      </c>
      <c r="AQ542" t="str">
        <f>""</f>
        <v/>
      </c>
      <c r="AR542" t="str">
        <f>""</f>
        <v/>
      </c>
      <c r="AS542" t="str">
        <f>""</f>
        <v/>
      </c>
      <c r="AT542" t="str">
        <f t="shared" si="461"/>
        <v>00</v>
      </c>
      <c r="AU542">
        <v>0.5</v>
      </c>
      <c r="AV542" t="str">
        <f>""</f>
        <v/>
      </c>
      <c r="AW542" t="str">
        <f>""</f>
        <v/>
      </c>
      <c r="AX542" t="str">
        <f>""</f>
        <v/>
      </c>
      <c r="AY542" t="str">
        <f>""</f>
        <v/>
      </c>
      <c r="AZ542" t="str">
        <f>""</f>
        <v/>
      </c>
      <c r="BA542" t="str">
        <f>""</f>
        <v/>
      </c>
      <c r="BB542" t="str">
        <f>""</f>
        <v/>
      </c>
      <c r="BC542" t="str">
        <f t="shared" si="496"/>
        <v xml:space="preserve">   0.000</v>
      </c>
      <c r="BD542" t="str">
        <f t="shared" si="496"/>
        <v xml:space="preserve">   0.000</v>
      </c>
      <c r="BE542" t="str">
        <f t="shared" si="496"/>
        <v xml:space="preserve">   0.000</v>
      </c>
      <c r="BF542" t="str">
        <f t="shared" si="496"/>
        <v xml:space="preserve">   0.000</v>
      </c>
      <c r="BG542" t="str">
        <f t="shared" si="496"/>
        <v xml:space="preserve">   0.000</v>
      </c>
      <c r="BH542" t="str">
        <f t="shared" si="448"/>
        <v>しない</v>
      </c>
      <c r="BI542" t="str">
        <f>""</f>
        <v/>
      </c>
      <c r="BJ542" t="str">
        <f t="shared" si="478"/>
        <v>MASTER01</v>
      </c>
      <c r="BK542" t="str">
        <f>"2022/01/27"</f>
        <v>2022/01/27</v>
      </c>
      <c r="BL542" t="str">
        <f t="shared" si="473"/>
        <v>NE00</v>
      </c>
      <c r="BM542" t="str">
        <f t="shared" si="474"/>
        <v>１工工務Ｇ</v>
      </c>
      <c r="BN542" t="str">
        <f>"39091"</f>
        <v>39091</v>
      </c>
      <c r="BO542" t="str">
        <f>"佐竹　良太"</f>
        <v>佐竹　良太</v>
      </c>
    </row>
    <row r="543" spans="1:67">
      <c r="A543" t="s">
        <v>618</v>
      </c>
      <c r="B543" t="str">
        <f>""</f>
        <v/>
      </c>
      <c r="C543" t="str">
        <f>""</f>
        <v/>
      </c>
      <c r="D543" t="s">
        <v>108</v>
      </c>
      <c r="E543" t="str">
        <f t="shared" si="462"/>
        <v>1Y</v>
      </c>
      <c r="F543" t="str">
        <f t="shared" si="463"/>
        <v>第１工場</v>
      </c>
      <c r="G543" t="str">
        <f t="shared" si="475"/>
        <v>直送</v>
      </c>
      <c r="H543" t="str">
        <f t="shared" si="465"/>
        <v>Ｐ</v>
      </c>
      <c r="I543" t="str">
        <f t="shared" si="486"/>
        <v>0005</v>
      </c>
      <c r="J543" t="str">
        <f t="shared" si="487"/>
        <v>アイシン軽金属（株）</v>
      </c>
      <c r="K543" t="str">
        <f>"01"</f>
        <v>01</v>
      </c>
      <c r="L543" t="str">
        <f>"本社工場（大和高速分）"</f>
        <v>本社工場（大和高速分）</v>
      </c>
      <c r="M543" t="str">
        <f t="shared" si="449"/>
        <v>――</v>
      </c>
      <c r="N543" t="str">
        <f t="shared" si="449"/>
        <v>――</v>
      </c>
      <c r="O543" t="str">
        <f t="shared" si="476"/>
        <v>Ｐ</v>
      </c>
      <c r="P543" t="str">
        <f t="shared" si="488"/>
        <v>2041</v>
      </c>
      <c r="Q543" t="str">
        <f t="shared" si="489"/>
        <v>（株）アイシン福井</v>
      </c>
      <c r="R543" t="str">
        <f t="shared" si="490"/>
        <v>01</v>
      </c>
      <c r="S543" t="str">
        <f t="shared" si="491"/>
        <v>本社工場</v>
      </c>
      <c r="T543" t="str">
        <f t="shared" si="471"/>
        <v>直接</v>
      </c>
      <c r="U543" t="str">
        <f>""</f>
        <v/>
      </c>
      <c r="V543" t="str">
        <f>""</f>
        <v/>
      </c>
      <c r="W543" t="str">
        <f>""</f>
        <v/>
      </c>
      <c r="X543">
        <v>1</v>
      </c>
      <c r="Y543">
        <v>1</v>
      </c>
      <c r="Z543">
        <v>1</v>
      </c>
      <c r="AA543">
        <v>1.25</v>
      </c>
      <c r="AB543">
        <v>3</v>
      </c>
      <c r="AC543">
        <v>1.25</v>
      </c>
      <c r="AD543">
        <v>1.25</v>
      </c>
      <c r="AE543">
        <v>1.1000000000000001</v>
      </c>
      <c r="AF543">
        <v>0.5</v>
      </c>
      <c r="AG543" t="str">
        <f t="shared" si="492"/>
        <v>069</v>
      </c>
      <c r="AH543" t="str">
        <f t="shared" si="493"/>
        <v>アイシン軽金属（株）</v>
      </c>
      <c r="AI543" t="str">
        <f>"004"</f>
        <v>004</v>
      </c>
      <c r="AJ543" t="str">
        <f t="shared" si="480"/>
        <v>CHOKUSOU</v>
      </c>
      <c r="AK543" t="str">
        <f>""</f>
        <v/>
      </c>
      <c r="AL543" t="str">
        <f>"9202"</f>
        <v>9202</v>
      </c>
      <c r="AM543" t="s">
        <v>53</v>
      </c>
      <c r="AN543" t="str">
        <f t="shared" si="494"/>
        <v>003</v>
      </c>
      <c r="AO543" t="str">
        <f t="shared" si="495"/>
        <v>Aﾊﾟﾚ ﾊﾝﾖｳ</v>
      </c>
      <c r="AP543">
        <v>35</v>
      </c>
      <c r="AQ543" t="str">
        <f>""</f>
        <v/>
      </c>
      <c r="AR543" t="str">
        <f>""</f>
        <v/>
      </c>
      <c r="AS543" t="str">
        <f>""</f>
        <v/>
      </c>
      <c r="AT543" t="str">
        <f t="shared" si="461"/>
        <v>00</v>
      </c>
      <c r="AU543">
        <v>0.5</v>
      </c>
      <c r="AV543" t="str">
        <f>""</f>
        <v/>
      </c>
      <c r="AW543" t="str">
        <f>""</f>
        <v/>
      </c>
      <c r="AX543" t="str">
        <f>""</f>
        <v/>
      </c>
      <c r="AY543" t="str">
        <f>""</f>
        <v/>
      </c>
      <c r="AZ543" t="str">
        <f>""</f>
        <v/>
      </c>
      <c r="BA543" t="str">
        <f>""</f>
        <v/>
      </c>
      <c r="BB543" t="str">
        <f>""</f>
        <v/>
      </c>
      <c r="BC543" t="str">
        <f t="shared" si="496"/>
        <v xml:space="preserve">   0.000</v>
      </c>
      <c r="BD543" t="str">
        <f t="shared" si="496"/>
        <v xml:space="preserve">   0.000</v>
      </c>
      <c r="BE543" t="str">
        <f t="shared" si="496"/>
        <v xml:space="preserve">   0.000</v>
      </c>
      <c r="BF543" t="str">
        <f t="shared" si="496"/>
        <v xml:space="preserve">   0.000</v>
      </c>
      <c r="BG543" t="str">
        <f t="shared" si="496"/>
        <v xml:space="preserve">   0.000</v>
      </c>
      <c r="BH543" t="str">
        <f t="shared" si="448"/>
        <v>しない</v>
      </c>
      <c r="BI543" t="str">
        <f>""</f>
        <v/>
      </c>
      <c r="BJ543" t="str">
        <f t="shared" si="478"/>
        <v>MASTER01</v>
      </c>
      <c r="BK543" t="str">
        <f>"2022/01/27"</f>
        <v>2022/01/27</v>
      </c>
      <c r="BL543" t="str">
        <f t="shared" si="473"/>
        <v>NE00</v>
      </c>
      <c r="BM543" t="str">
        <f t="shared" si="474"/>
        <v>１工工務Ｇ</v>
      </c>
      <c r="BN543" t="str">
        <f>"39091"</f>
        <v>39091</v>
      </c>
      <c r="BO543" t="str">
        <f>"佐竹　良太"</f>
        <v>佐竹　良太</v>
      </c>
    </row>
    <row r="544" spans="1:67">
      <c r="A544" t="s">
        <v>618</v>
      </c>
      <c r="B544" t="str">
        <f>""</f>
        <v/>
      </c>
      <c r="C544" t="str">
        <f>""</f>
        <v/>
      </c>
      <c r="D544" t="s">
        <v>108</v>
      </c>
      <c r="E544" t="str">
        <f t="shared" si="462"/>
        <v>1Y</v>
      </c>
      <c r="F544" t="str">
        <f t="shared" si="463"/>
        <v>第１工場</v>
      </c>
      <c r="G544" t="str">
        <f t="shared" si="475"/>
        <v>直送</v>
      </c>
      <c r="H544" t="str">
        <f t="shared" si="465"/>
        <v>Ｐ</v>
      </c>
      <c r="I544" t="str">
        <f t="shared" si="486"/>
        <v>0005</v>
      </c>
      <c r="J544" t="str">
        <f t="shared" si="487"/>
        <v>アイシン軽金属（株）</v>
      </c>
      <c r="K544" t="str">
        <f>"09"</f>
        <v>09</v>
      </c>
      <c r="L544" t="str">
        <f>"サンエツ福井"</f>
        <v>サンエツ福井</v>
      </c>
      <c r="M544" t="str">
        <f t="shared" si="449"/>
        <v>――</v>
      </c>
      <c r="N544" t="str">
        <f t="shared" si="449"/>
        <v>――</v>
      </c>
      <c r="O544" t="str">
        <f t="shared" si="476"/>
        <v>Ｐ</v>
      </c>
      <c r="P544" t="str">
        <f t="shared" si="488"/>
        <v>2041</v>
      </c>
      <c r="Q544" t="str">
        <f t="shared" si="489"/>
        <v>（株）アイシン福井</v>
      </c>
      <c r="R544" t="str">
        <f t="shared" si="490"/>
        <v>01</v>
      </c>
      <c r="S544" t="str">
        <f t="shared" si="491"/>
        <v>本社工場</v>
      </c>
      <c r="T544" t="str">
        <f t="shared" si="471"/>
        <v>直接</v>
      </c>
      <c r="U544" t="str">
        <f>""</f>
        <v/>
      </c>
      <c r="V544" t="str">
        <f>""</f>
        <v/>
      </c>
      <c r="W544" t="str">
        <f>""</f>
        <v/>
      </c>
      <c r="X544">
        <v>1</v>
      </c>
      <c r="Y544">
        <v>1</v>
      </c>
      <c r="Z544">
        <v>1</v>
      </c>
      <c r="AA544">
        <v>1.25</v>
      </c>
      <c r="AB544">
        <v>3</v>
      </c>
      <c r="AC544">
        <v>1.25</v>
      </c>
      <c r="AD544">
        <v>1.25</v>
      </c>
      <c r="AE544">
        <v>1.1000000000000001</v>
      </c>
      <c r="AF544">
        <v>0.5</v>
      </c>
      <c r="AG544" t="str">
        <f t="shared" si="492"/>
        <v>069</v>
      </c>
      <c r="AH544" t="str">
        <f t="shared" si="493"/>
        <v>アイシン軽金属（株）</v>
      </c>
      <c r="AI544" t="str">
        <f>"004"</f>
        <v>004</v>
      </c>
      <c r="AJ544" t="str">
        <f t="shared" si="480"/>
        <v>CHOKUSOU</v>
      </c>
      <c r="AK544" t="str">
        <f>""</f>
        <v/>
      </c>
      <c r="AL544" t="str">
        <f>"9202"</f>
        <v>9202</v>
      </c>
      <c r="AM544" t="s">
        <v>53</v>
      </c>
      <c r="AN544" t="str">
        <f t="shared" si="494"/>
        <v>003</v>
      </c>
      <c r="AO544" t="str">
        <f t="shared" si="495"/>
        <v>Aﾊﾟﾚ ﾊﾝﾖｳ</v>
      </c>
      <c r="AP544">
        <v>35</v>
      </c>
      <c r="AQ544" t="str">
        <f>""</f>
        <v/>
      </c>
      <c r="AR544" t="str">
        <f>""</f>
        <v/>
      </c>
      <c r="AS544" t="str">
        <f>""</f>
        <v/>
      </c>
      <c r="AT544" t="str">
        <f t="shared" si="461"/>
        <v>00</v>
      </c>
      <c r="AU544">
        <v>0.5</v>
      </c>
      <c r="AV544" t="str">
        <f>""</f>
        <v/>
      </c>
      <c r="AW544" t="str">
        <f>""</f>
        <v/>
      </c>
      <c r="AX544" t="str">
        <f>""</f>
        <v/>
      </c>
      <c r="AY544" t="str">
        <f>""</f>
        <v/>
      </c>
      <c r="AZ544" t="str">
        <f>""</f>
        <v/>
      </c>
      <c r="BA544" t="str">
        <f>""</f>
        <v/>
      </c>
      <c r="BB544" t="str">
        <f>""</f>
        <v/>
      </c>
      <c r="BC544" t="str">
        <f t="shared" si="496"/>
        <v xml:space="preserve">   0.000</v>
      </c>
      <c r="BD544" t="str">
        <f t="shared" si="496"/>
        <v xml:space="preserve">   0.000</v>
      </c>
      <c r="BE544" t="str">
        <f t="shared" si="496"/>
        <v xml:space="preserve">   0.000</v>
      </c>
      <c r="BF544" t="str">
        <f t="shared" si="496"/>
        <v xml:space="preserve">   0.000</v>
      </c>
      <c r="BG544" t="str">
        <f t="shared" si="496"/>
        <v xml:space="preserve">   0.000</v>
      </c>
      <c r="BH544" t="str">
        <f t="shared" si="448"/>
        <v>しない</v>
      </c>
      <c r="BI544" t="str">
        <f>""</f>
        <v/>
      </c>
      <c r="BJ544" t="str">
        <f t="shared" si="478"/>
        <v>MASTER01</v>
      </c>
      <c r="BK544" t="str">
        <f>"2022/01/27"</f>
        <v>2022/01/27</v>
      </c>
      <c r="BL544" t="str">
        <f t="shared" si="473"/>
        <v>NE00</v>
      </c>
      <c r="BM544" t="str">
        <f t="shared" si="474"/>
        <v>１工工務Ｇ</v>
      </c>
      <c r="BN544" t="str">
        <f>"39091"</f>
        <v>39091</v>
      </c>
      <c r="BO544" t="str">
        <f>"佐竹　良太"</f>
        <v>佐竹　良太</v>
      </c>
    </row>
    <row r="545" spans="1:67">
      <c r="A545" t="s">
        <v>619</v>
      </c>
      <c r="B545" t="str">
        <f>""</f>
        <v/>
      </c>
      <c r="C545" t="str">
        <f>""</f>
        <v/>
      </c>
      <c r="D545" t="s">
        <v>108</v>
      </c>
      <c r="E545" t="str">
        <f t="shared" si="462"/>
        <v>1Y</v>
      </c>
      <c r="F545" t="str">
        <f t="shared" si="463"/>
        <v>第１工場</v>
      </c>
      <c r="G545" t="str">
        <f t="shared" si="475"/>
        <v>直送</v>
      </c>
      <c r="H545" t="str">
        <f t="shared" si="465"/>
        <v>Ｐ</v>
      </c>
      <c r="I545" t="str">
        <f t="shared" si="486"/>
        <v>0005</v>
      </c>
      <c r="J545" t="str">
        <f t="shared" si="487"/>
        <v>アイシン軽金属（株）</v>
      </c>
      <c r="K545" t="str">
        <f t="shared" ref="K545:K552" si="497">"01"</f>
        <v>01</v>
      </c>
      <c r="L545" t="str">
        <f>"本社工場（大和高速分）"</f>
        <v>本社工場（大和高速分）</v>
      </c>
      <c r="M545" t="str">
        <f t="shared" si="449"/>
        <v>――</v>
      </c>
      <c r="N545" t="str">
        <f t="shared" si="449"/>
        <v>――</v>
      </c>
      <c r="O545" t="str">
        <f t="shared" si="476"/>
        <v>Ｐ</v>
      </c>
      <c r="P545" t="str">
        <f t="shared" si="488"/>
        <v>2041</v>
      </c>
      <c r="Q545" t="str">
        <f t="shared" si="489"/>
        <v>（株）アイシン福井</v>
      </c>
      <c r="R545" t="str">
        <f t="shared" si="490"/>
        <v>01</v>
      </c>
      <c r="S545" t="str">
        <f t="shared" si="491"/>
        <v>本社工場</v>
      </c>
      <c r="T545" t="str">
        <f t="shared" si="471"/>
        <v>直接</v>
      </c>
      <c r="U545" t="str">
        <f>""</f>
        <v/>
      </c>
      <c r="V545" t="str">
        <f>""</f>
        <v/>
      </c>
      <c r="W545" t="str">
        <f>""</f>
        <v/>
      </c>
      <c r="X545">
        <v>1</v>
      </c>
      <c r="Y545">
        <v>1</v>
      </c>
      <c r="Z545">
        <v>1</v>
      </c>
      <c r="AA545">
        <v>1.25</v>
      </c>
      <c r="AB545">
        <v>3</v>
      </c>
      <c r="AC545">
        <v>1.25</v>
      </c>
      <c r="AD545">
        <v>1.25</v>
      </c>
      <c r="AE545">
        <v>1.1000000000000001</v>
      </c>
      <c r="AF545">
        <v>0.5</v>
      </c>
      <c r="AG545" t="str">
        <f t="shared" si="492"/>
        <v>069</v>
      </c>
      <c r="AH545" t="str">
        <f t="shared" si="493"/>
        <v>アイシン軽金属（株）</v>
      </c>
      <c r="AI545" t="str">
        <f>"006"</f>
        <v>006</v>
      </c>
      <c r="AJ545" t="str">
        <f t="shared" si="480"/>
        <v>CHOKUSOU</v>
      </c>
      <c r="AK545" t="str">
        <f>""</f>
        <v/>
      </c>
      <c r="AL545" t="str">
        <f>"9202"</f>
        <v>9202</v>
      </c>
      <c r="AM545" t="s">
        <v>52</v>
      </c>
      <c r="AN545" t="str">
        <f t="shared" si="494"/>
        <v>003</v>
      </c>
      <c r="AO545" t="str">
        <f t="shared" si="495"/>
        <v>Aﾊﾟﾚ ﾊﾝﾖｳ</v>
      </c>
      <c r="AP545">
        <v>42</v>
      </c>
      <c r="AQ545" t="str">
        <f>""</f>
        <v/>
      </c>
      <c r="AR545" t="str">
        <f>""</f>
        <v/>
      </c>
      <c r="AS545" t="str">
        <f>""</f>
        <v/>
      </c>
      <c r="AT545" t="str">
        <f t="shared" si="461"/>
        <v>00</v>
      </c>
      <c r="AU545">
        <v>0.5</v>
      </c>
      <c r="AV545" t="str">
        <f>""</f>
        <v/>
      </c>
      <c r="AW545" t="str">
        <f>""</f>
        <v/>
      </c>
      <c r="AX545" t="str">
        <f>""</f>
        <v/>
      </c>
      <c r="AY545" t="str">
        <f>""</f>
        <v/>
      </c>
      <c r="AZ545" t="str">
        <f>""</f>
        <v/>
      </c>
      <c r="BA545" t="str">
        <f>""</f>
        <v/>
      </c>
      <c r="BB545" t="str">
        <f>""</f>
        <v/>
      </c>
      <c r="BC545" t="str">
        <f>" 800.000"</f>
        <v xml:space="preserve"> 800.000</v>
      </c>
      <c r="BD545" t="str">
        <f>" 850.000"</f>
        <v xml:space="preserve"> 850.000</v>
      </c>
      <c r="BE545" t="str">
        <f>" 680.000"</f>
        <v xml:space="preserve"> 680.000</v>
      </c>
      <c r="BF545" t="str">
        <f>"   0.462"</f>
        <v xml:space="preserve">   0.462</v>
      </c>
      <c r="BG545" t="str">
        <f>" 217.000"</f>
        <v xml:space="preserve"> 217.000</v>
      </c>
      <c r="BH545" t="str">
        <f t="shared" si="448"/>
        <v>しない</v>
      </c>
      <c r="BI545" t="str">
        <f>""</f>
        <v/>
      </c>
      <c r="BJ545" t="str">
        <f t="shared" si="478"/>
        <v>MASTER01</v>
      </c>
      <c r="BK545" t="str">
        <f>"2023/01/17"</f>
        <v>2023/01/17</v>
      </c>
      <c r="BL545" t="str">
        <f t="shared" si="473"/>
        <v>NE00</v>
      </c>
      <c r="BM545" t="str">
        <f t="shared" si="474"/>
        <v>１工工務Ｇ</v>
      </c>
      <c r="BN545" t="str">
        <f>"46548"</f>
        <v>46548</v>
      </c>
      <c r="BO545" t="str">
        <f>"長畑　玲奈"</f>
        <v>長畑　玲奈</v>
      </c>
    </row>
    <row r="546" spans="1:67">
      <c r="A546" t="s">
        <v>620</v>
      </c>
      <c r="B546" t="str">
        <f>""</f>
        <v/>
      </c>
      <c r="C546" t="str">
        <f>""</f>
        <v/>
      </c>
      <c r="D546" t="s">
        <v>109</v>
      </c>
      <c r="E546" t="str">
        <f t="shared" si="462"/>
        <v>1Y</v>
      </c>
      <c r="F546" t="str">
        <f t="shared" si="463"/>
        <v>第１工場</v>
      </c>
      <c r="G546" t="str">
        <f t="shared" si="475"/>
        <v>直送</v>
      </c>
      <c r="H546" t="str">
        <f t="shared" si="465"/>
        <v>Ｐ</v>
      </c>
      <c r="I546" t="str">
        <f>"3604"</f>
        <v>3604</v>
      </c>
      <c r="J546" t="str">
        <f>"ＴＤＫ（株）"</f>
        <v>ＴＤＫ（株）</v>
      </c>
      <c r="K546" t="str">
        <f t="shared" si="497"/>
        <v>01</v>
      </c>
      <c r="L546" t="str">
        <f>""</f>
        <v/>
      </c>
      <c r="M546" t="str">
        <f t="shared" si="449"/>
        <v>――</v>
      </c>
      <c r="N546" t="str">
        <f t="shared" si="449"/>
        <v>――</v>
      </c>
      <c r="O546" t="str">
        <f t="shared" si="476"/>
        <v>Ｐ</v>
      </c>
      <c r="P546" t="str">
        <f>"2506"</f>
        <v>2506</v>
      </c>
      <c r="Q546" t="str">
        <f>"住友電装（株）"</f>
        <v>住友電装（株）</v>
      </c>
      <c r="R546" t="str">
        <f t="shared" si="490"/>
        <v>01</v>
      </c>
      <c r="S546" t="str">
        <f>""</f>
        <v/>
      </c>
      <c r="T546" t="str">
        <f t="shared" si="471"/>
        <v>直接</v>
      </c>
      <c r="U546" t="str">
        <f>""</f>
        <v/>
      </c>
      <c r="V546" t="str">
        <f>""</f>
        <v/>
      </c>
      <c r="W546" t="str">
        <f>""</f>
        <v/>
      </c>
      <c r="X546">
        <v>1</v>
      </c>
      <c r="Y546">
        <v>1</v>
      </c>
      <c r="Z546">
        <v>1</v>
      </c>
      <c r="AA546">
        <v>1.25</v>
      </c>
      <c r="AB546">
        <v>3</v>
      </c>
      <c r="AC546">
        <v>1.25</v>
      </c>
      <c r="AD546">
        <v>1.25</v>
      </c>
      <c r="AE546">
        <v>1.1000000000000001</v>
      </c>
      <c r="AF546">
        <v>0.5</v>
      </c>
      <c r="AG546" t="str">
        <f>"814"</f>
        <v>814</v>
      </c>
      <c r="AH546" t="str">
        <f>"ＴＤＫ（株）"</f>
        <v>ＴＤＫ（株）</v>
      </c>
      <c r="AI546" t="str">
        <f>"001"</f>
        <v>001</v>
      </c>
      <c r="AJ546" t="str">
        <f t="shared" si="480"/>
        <v>CHOKUSOU</v>
      </c>
      <c r="AK546" t="str">
        <f>""</f>
        <v/>
      </c>
      <c r="AL546" t="str">
        <f>"3303"</f>
        <v>3303</v>
      </c>
      <c r="AM546" t="str">
        <f>"ｾﾝｻ- ﾕｵﾝ"</f>
        <v>ｾﾝｻ- ﾕｵﾝ</v>
      </c>
      <c r="AN546" t="str">
        <f>"011"</f>
        <v>011</v>
      </c>
      <c r="AO546" t="str">
        <f>"ﾀﾞﾝﾎﾞ-ﾙ ﾊﾞｺ"</f>
        <v>ﾀﾞﾝﾎﾞ-ﾙ ﾊﾞｺ</v>
      </c>
      <c r="AP546">
        <v>700</v>
      </c>
      <c r="AQ546" t="str">
        <f>""</f>
        <v/>
      </c>
      <c r="AR546" t="str">
        <f>""</f>
        <v/>
      </c>
      <c r="AS546" t="str">
        <f>""</f>
        <v/>
      </c>
      <c r="AT546" t="str">
        <f t="shared" si="461"/>
        <v>00</v>
      </c>
      <c r="AU546">
        <v>0.5</v>
      </c>
      <c r="AV546" t="str">
        <f>""</f>
        <v/>
      </c>
      <c r="AW546" t="str">
        <f>""</f>
        <v/>
      </c>
      <c r="AX546" t="str">
        <f>""</f>
        <v/>
      </c>
      <c r="AY546" t="str">
        <f>""</f>
        <v/>
      </c>
      <c r="AZ546" t="str">
        <f>""</f>
        <v/>
      </c>
      <c r="BA546" t="str">
        <f>""</f>
        <v/>
      </c>
      <c r="BB546" t="str">
        <f>""</f>
        <v/>
      </c>
      <c r="BC546" t="str">
        <f t="shared" ref="BC546:BG549" si="498">"   0.000"</f>
        <v xml:space="preserve">   0.000</v>
      </c>
      <c r="BD546" t="str">
        <f t="shared" si="498"/>
        <v xml:space="preserve">   0.000</v>
      </c>
      <c r="BE546" t="str">
        <f t="shared" si="498"/>
        <v xml:space="preserve">   0.000</v>
      </c>
      <c r="BF546" t="str">
        <f t="shared" si="498"/>
        <v xml:space="preserve">   0.000</v>
      </c>
      <c r="BG546" t="str">
        <f t="shared" si="498"/>
        <v xml:space="preserve">   0.000</v>
      </c>
      <c r="BH546" t="str">
        <f t="shared" si="448"/>
        <v>しない</v>
      </c>
      <c r="BI546" t="str">
        <f>""</f>
        <v/>
      </c>
      <c r="BJ546" t="str">
        <f t="shared" si="478"/>
        <v>MASTER01</v>
      </c>
      <c r="BK546" t="str">
        <f>"2022/01/27"</f>
        <v>2022/01/27</v>
      </c>
      <c r="BL546" t="str">
        <f t="shared" si="473"/>
        <v>NE00</v>
      </c>
      <c r="BM546" t="str">
        <f t="shared" si="474"/>
        <v>１工工務Ｇ</v>
      </c>
      <c r="BN546" t="str">
        <f>"39091"</f>
        <v>39091</v>
      </c>
      <c r="BO546" t="str">
        <f>"佐竹　良太"</f>
        <v>佐竹　良太</v>
      </c>
    </row>
    <row r="547" spans="1:67">
      <c r="A547" t="s">
        <v>621</v>
      </c>
      <c r="B547" t="str">
        <f>""</f>
        <v/>
      </c>
      <c r="C547" t="str">
        <f>""</f>
        <v/>
      </c>
      <c r="D547" t="str">
        <f>"CAP"</f>
        <v>CAP</v>
      </c>
      <c r="E547" t="str">
        <f t="shared" si="462"/>
        <v>1Y</v>
      </c>
      <c r="F547" t="str">
        <f t="shared" si="463"/>
        <v>第１工場</v>
      </c>
      <c r="G547" t="str">
        <f t="shared" si="475"/>
        <v>直送</v>
      </c>
      <c r="H547" t="str">
        <f t="shared" si="465"/>
        <v>Ｐ</v>
      </c>
      <c r="I547" t="str">
        <f>"0265"</f>
        <v>0265</v>
      </c>
      <c r="J547" t="str">
        <f>"イワタボルト（株）"</f>
        <v>イワタボルト（株）</v>
      </c>
      <c r="K547" t="str">
        <f t="shared" si="497"/>
        <v>01</v>
      </c>
      <c r="L547" t="str">
        <f>"本社"</f>
        <v>本社</v>
      </c>
      <c r="M547" t="str">
        <f t="shared" si="449"/>
        <v>――</v>
      </c>
      <c r="N547" t="str">
        <f t="shared" si="449"/>
        <v>――</v>
      </c>
      <c r="O547" t="str">
        <f t="shared" si="476"/>
        <v>Ｐ</v>
      </c>
      <c r="P547" t="str">
        <f>"2508"</f>
        <v>2508</v>
      </c>
      <c r="Q547" t="str">
        <f>"住友電気工業（株）"</f>
        <v>住友電気工業（株）</v>
      </c>
      <c r="R547" t="str">
        <f t="shared" si="490"/>
        <v>01</v>
      </c>
      <c r="S547" t="str">
        <f>""</f>
        <v/>
      </c>
      <c r="T547" t="str">
        <f t="shared" si="471"/>
        <v>直接</v>
      </c>
      <c r="U547" t="str">
        <f>""</f>
        <v/>
      </c>
      <c r="V547" t="str">
        <f>""</f>
        <v/>
      </c>
      <c r="W547" t="str">
        <f>""</f>
        <v/>
      </c>
      <c r="X547">
        <v>1</v>
      </c>
      <c r="Y547">
        <v>1</v>
      </c>
      <c r="Z547">
        <v>1</v>
      </c>
      <c r="AA547">
        <v>1.25</v>
      </c>
      <c r="AB547">
        <v>3</v>
      </c>
      <c r="AC547">
        <v>1.25</v>
      </c>
      <c r="AD547">
        <v>1.25</v>
      </c>
      <c r="AE547">
        <v>1.1000000000000001</v>
      </c>
      <c r="AF547">
        <v>0.5</v>
      </c>
      <c r="AG547" t="str">
        <f>"104"</f>
        <v>104</v>
      </c>
      <c r="AH547" t="str">
        <f>"イワタボルト（株）"</f>
        <v>イワタボルト（株）</v>
      </c>
      <c r="AI547" t="str">
        <f>"001"</f>
        <v>001</v>
      </c>
      <c r="AJ547" t="str">
        <f t="shared" si="480"/>
        <v>CHOKUSOU</v>
      </c>
      <c r="AK547" t="str">
        <f>""</f>
        <v/>
      </c>
      <c r="AL547" t="str">
        <f>"9209"</f>
        <v>9209</v>
      </c>
      <c r="AM547" t="str">
        <f>"ｷｬｯﾌﾟ"</f>
        <v>ｷｬｯﾌﾟ</v>
      </c>
      <c r="AN547" t="str">
        <f>"011"</f>
        <v>011</v>
      </c>
      <c r="AO547" t="str">
        <f>"ﾀﾞﾝﾎﾞ-ﾙ ﾊﾞｺ"</f>
        <v>ﾀﾞﾝﾎﾞ-ﾙ ﾊﾞｺ</v>
      </c>
      <c r="AP547">
        <v>2000</v>
      </c>
      <c r="AQ547" t="str">
        <f>""</f>
        <v/>
      </c>
      <c r="AR547" t="str">
        <f>""</f>
        <v/>
      </c>
      <c r="AS547" t="str">
        <f>""</f>
        <v/>
      </c>
      <c r="AT547" t="str">
        <f t="shared" si="461"/>
        <v>00</v>
      </c>
      <c r="AU547">
        <v>0.5</v>
      </c>
      <c r="AV547" t="str">
        <f>""</f>
        <v/>
      </c>
      <c r="AW547" t="str">
        <f>""</f>
        <v/>
      </c>
      <c r="AX547" t="str">
        <f>""</f>
        <v/>
      </c>
      <c r="AY547" t="str">
        <f>""</f>
        <v/>
      </c>
      <c r="AZ547" t="str">
        <f>""</f>
        <v/>
      </c>
      <c r="BA547" t="str">
        <f>""</f>
        <v/>
      </c>
      <c r="BB547" t="str">
        <f>""</f>
        <v/>
      </c>
      <c r="BC547" t="str">
        <f t="shared" si="498"/>
        <v xml:space="preserve">   0.000</v>
      </c>
      <c r="BD547" t="str">
        <f t="shared" si="498"/>
        <v xml:space="preserve">   0.000</v>
      </c>
      <c r="BE547" t="str">
        <f t="shared" si="498"/>
        <v xml:space="preserve">   0.000</v>
      </c>
      <c r="BF547" t="str">
        <f t="shared" si="498"/>
        <v xml:space="preserve">   0.000</v>
      </c>
      <c r="BG547" t="str">
        <f t="shared" si="498"/>
        <v xml:space="preserve">   0.000</v>
      </c>
      <c r="BH547" t="str">
        <f t="shared" ref="BH547:BH557" si="499">"しない"</f>
        <v>しない</v>
      </c>
      <c r="BI547" t="str">
        <f>""</f>
        <v/>
      </c>
      <c r="BJ547" t="str">
        <f t="shared" si="478"/>
        <v>MASTER01</v>
      </c>
      <c r="BK547" t="str">
        <f>"2022/01/27"</f>
        <v>2022/01/27</v>
      </c>
      <c r="BL547" t="str">
        <f t="shared" si="473"/>
        <v>NE00</v>
      </c>
      <c r="BM547" t="str">
        <f t="shared" si="474"/>
        <v>１工工務Ｇ</v>
      </c>
      <c r="BN547" t="str">
        <f>"39091"</f>
        <v>39091</v>
      </c>
      <c r="BO547" t="str">
        <f>"佐竹　良太"</f>
        <v>佐竹　良太</v>
      </c>
    </row>
    <row r="548" spans="1:67">
      <c r="A548" t="s">
        <v>622</v>
      </c>
      <c r="B548" t="str">
        <f>""</f>
        <v/>
      </c>
      <c r="C548" t="str">
        <f>""</f>
        <v/>
      </c>
      <c r="D548" t="str">
        <f>"NUT"</f>
        <v>NUT</v>
      </c>
      <c r="E548" t="str">
        <f t="shared" si="462"/>
        <v>1Y</v>
      </c>
      <c r="F548" t="str">
        <f t="shared" si="463"/>
        <v>第１工場</v>
      </c>
      <c r="G548" t="str">
        <f t="shared" si="475"/>
        <v>直送</v>
      </c>
      <c r="H548" t="str">
        <f t="shared" si="465"/>
        <v>Ｐ</v>
      </c>
      <c r="I548" t="str">
        <f>"0265"</f>
        <v>0265</v>
      </c>
      <c r="J548" t="str">
        <f>"イワタボルト（株）"</f>
        <v>イワタボルト（株）</v>
      </c>
      <c r="K548" t="str">
        <f t="shared" si="497"/>
        <v>01</v>
      </c>
      <c r="L548" t="str">
        <f>"本社"</f>
        <v>本社</v>
      </c>
      <c r="M548" t="str">
        <f t="shared" si="449"/>
        <v>――</v>
      </c>
      <c r="N548" t="str">
        <f t="shared" si="449"/>
        <v>――</v>
      </c>
      <c r="O548" t="str">
        <f t="shared" si="476"/>
        <v>Ｐ</v>
      </c>
      <c r="P548" t="str">
        <f>"2508"</f>
        <v>2508</v>
      </c>
      <c r="Q548" t="str">
        <f>"住友電気工業（株）"</f>
        <v>住友電気工業（株）</v>
      </c>
      <c r="R548" t="str">
        <f t="shared" si="490"/>
        <v>01</v>
      </c>
      <c r="S548" t="str">
        <f>""</f>
        <v/>
      </c>
      <c r="T548" t="str">
        <f t="shared" si="471"/>
        <v>直接</v>
      </c>
      <c r="U548" t="str">
        <f>""</f>
        <v/>
      </c>
      <c r="V548" t="str">
        <f>""</f>
        <v/>
      </c>
      <c r="W548" t="str">
        <f>""</f>
        <v/>
      </c>
      <c r="X548">
        <v>1</v>
      </c>
      <c r="Y548">
        <v>1</v>
      </c>
      <c r="Z548">
        <v>1</v>
      </c>
      <c r="AA548">
        <v>1.25</v>
      </c>
      <c r="AB548">
        <v>3</v>
      </c>
      <c r="AC548">
        <v>1.25</v>
      </c>
      <c r="AD548">
        <v>1.25</v>
      </c>
      <c r="AE548">
        <v>1.1000000000000001</v>
      </c>
      <c r="AF548">
        <v>0.5</v>
      </c>
      <c r="AG548" t="str">
        <f>"104"</f>
        <v>104</v>
      </c>
      <c r="AH548" t="str">
        <f>"イワタボルト（株）"</f>
        <v>イワタボルト（株）</v>
      </c>
      <c r="AI548" t="str">
        <f>"002"</f>
        <v>002</v>
      </c>
      <c r="AJ548" t="str">
        <f t="shared" si="480"/>
        <v>CHOKUSOU</v>
      </c>
      <c r="AK548" t="str">
        <f>""</f>
        <v/>
      </c>
      <c r="AL548" t="str">
        <f>"0045"</f>
        <v>0045</v>
      </c>
      <c r="AM548" t="str">
        <f>"ﾅｯﾄ"</f>
        <v>ﾅｯﾄ</v>
      </c>
      <c r="AN548" t="str">
        <f>"011"</f>
        <v>011</v>
      </c>
      <c r="AO548" t="str">
        <f>"ﾀﾞﾝﾎﾞ-ﾙ ﾊﾞｺ"</f>
        <v>ﾀﾞﾝﾎﾞ-ﾙ ﾊﾞｺ</v>
      </c>
      <c r="AP548">
        <v>2000</v>
      </c>
      <c r="AQ548" t="str">
        <f>""</f>
        <v/>
      </c>
      <c r="AR548" t="str">
        <f>""</f>
        <v/>
      </c>
      <c r="AS548" t="str">
        <f>""</f>
        <v/>
      </c>
      <c r="AT548" t="str">
        <f t="shared" si="461"/>
        <v>00</v>
      </c>
      <c r="AU548">
        <v>0.5</v>
      </c>
      <c r="AV548" t="str">
        <f>""</f>
        <v/>
      </c>
      <c r="AW548" t="str">
        <f>""</f>
        <v/>
      </c>
      <c r="AX548" t="str">
        <f>""</f>
        <v/>
      </c>
      <c r="AY548" t="str">
        <f>""</f>
        <v/>
      </c>
      <c r="AZ548" t="str">
        <f>""</f>
        <v/>
      </c>
      <c r="BA548" t="str">
        <f>""</f>
        <v/>
      </c>
      <c r="BB548" t="str">
        <f>""</f>
        <v/>
      </c>
      <c r="BC548" t="str">
        <f t="shared" si="498"/>
        <v xml:space="preserve">   0.000</v>
      </c>
      <c r="BD548" t="str">
        <f t="shared" si="498"/>
        <v xml:space="preserve">   0.000</v>
      </c>
      <c r="BE548" t="str">
        <f t="shared" si="498"/>
        <v xml:space="preserve">   0.000</v>
      </c>
      <c r="BF548" t="str">
        <f t="shared" si="498"/>
        <v xml:space="preserve">   0.000</v>
      </c>
      <c r="BG548" t="str">
        <f t="shared" si="498"/>
        <v xml:space="preserve">   0.000</v>
      </c>
      <c r="BH548" t="str">
        <f t="shared" si="499"/>
        <v>しない</v>
      </c>
      <c r="BI548" t="str">
        <f>""</f>
        <v/>
      </c>
      <c r="BJ548" t="str">
        <f t="shared" si="478"/>
        <v>MASTER01</v>
      </c>
      <c r="BK548" t="str">
        <f>"2022/01/27"</f>
        <v>2022/01/27</v>
      </c>
      <c r="BL548" t="str">
        <f t="shared" si="473"/>
        <v>NE00</v>
      </c>
      <c r="BM548" t="str">
        <f t="shared" si="474"/>
        <v>１工工務Ｇ</v>
      </c>
      <c r="BN548" t="str">
        <f>"39091"</f>
        <v>39091</v>
      </c>
      <c r="BO548" t="str">
        <f>"佐竹　良太"</f>
        <v>佐竹　良太</v>
      </c>
    </row>
    <row r="549" spans="1:67">
      <c r="A549" t="s">
        <v>623</v>
      </c>
      <c r="B549" t="str">
        <f>""</f>
        <v/>
      </c>
      <c r="C549" t="str">
        <f>""</f>
        <v/>
      </c>
      <c r="D549" t="s">
        <v>81</v>
      </c>
      <c r="E549" t="str">
        <f t="shared" si="462"/>
        <v>1Y</v>
      </c>
      <c r="F549" t="str">
        <f t="shared" si="463"/>
        <v>第１工場</v>
      </c>
      <c r="G549" t="str">
        <f t="shared" si="475"/>
        <v>直送</v>
      </c>
      <c r="H549" t="str">
        <f t="shared" si="465"/>
        <v>Ｐ</v>
      </c>
      <c r="I549" t="str">
        <f>"5014"</f>
        <v>5014</v>
      </c>
      <c r="J549" t="str">
        <f>"（株）浜名製作所"</f>
        <v>（株）浜名製作所</v>
      </c>
      <c r="K549" t="str">
        <f t="shared" si="497"/>
        <v>01</v>
      </c>
      <c r="L549" t="str">
        <f>"本社工場"</f>
        <v>本社工場</v>
      </c>
      <c r="M549" t="str">
        <f t="shared" ref="M549:N557" si="500">"――"</f>
        <v>――</v>
      </c>
      <c r="N549" t="str">
        <f t="shared" si="500"/>
        <v>――</v>
      </c>
      <c r="O549" t="str">
        <f t="shared" si="476"/>
        <v>Ｐ</v>
      </c>
      <c r="P549" t="str">
        <f>"3236"</f>
        <v>3236</v>
      </c>
      <c r="Q549" t="str">
        <f>"中庸スプリング（株）"</f>
        <v>中庸スプリング（株）</v>
      </c>
      <c r="R549" t="str">
        <f t="shared" si="490"/>
        <v>01</v>
      </c>
      <c r="S549" t="str">
        <f>""</f>
        <v/>
      </c>
      <c r="T549" t="str">
        <f t="shared" si="471"/>
        <v>直接</v>
      </c>
      <c r="U549" t="str">
        <f>""</f>
        <v/>
      </c>
      <c r="V549" t="str">
        <f>""</f>
        <v/>
      </c>
      <c r="W549" t="str">
        <f>""</f>
        <v/>
      </c>
      <c r="X549">
        <v>1</v>
      </c>
      <c r="Y549">
        <v>1</v>
      </c>
      <c r="Z549">
        <v>1</v>
      </c>
      <c r="AA549">
        <v>1.25</v>
      </c>
      <c r="AB549">
        <v>3</v>
      </c>
      <c r="AC549">
        <v>1.25</v>
      </c>
      <c r="AD549">
        <v>1.25</v>
      </c>
      <c r="AE549">
        <v>1.1000000000000001</v>
      </c>
      <c r="AF549">
        <v>0.5</v>
      </c>
      <c r="AG549" t="str">
        <f>"051"</f>
        <v>051</v>
      </c>
      <c r="AH549" t="str">
        <f>"（株）浜名製作所"</f>
        <v>（株）浜名製作所</v>
      </c>
      <c r="AI549" t="str">
        <f>"001"</f>
        <v>001</v>
      </c>
      <c r="AJ549" t="str">
        <f t="shared" si="480"/>
        <v>CHOKUSOU</v>
      </c>
      <c r="AK549" t="str">
        <f>""</f>
        <v/>
      </c>
      <c r="AL549" t="str">
        <f>"0672"</f>
        <v>0672</v>
      </c>
      <c r="AM549" t="s">
        <v>82</v>
      </c>
      <c r="AN549" t="str">
        <f>"012"</f>
        <v>012</v>
      </c>
      <c r="AO549" t="str">
        <f>"TP-131 ﾊﾝﾖｳ"</f>
        <v>TP-131 ﾊﾝﾖｳ</v>
      </c>
      <c r="AP549">
        <v>100</v>
      </c>
      <c r="AQ549" t="str">
        <f>""</f>
        <v/>
      </c>
      <c r="AR549" t="str">
        <f>""</f>
        <v/>
      </c>
      <c r="AS549" t="str">
        <f>""</f>
        <v/>
      </c>
      <c r="AT549" t="str">
        <f t="shared" si="461"/>
        <v>00</v>
      </c>
      <c r="AU549">
        <v>0.5</v>
      </c>
      <c r="AV549" t="str">
        <f>""</f>
        <v/>
      </c>
      <c r="AW549" t="str">
        <f>""</f>
        <v/>
      </c>
      <c r="AX549" t="str">
        <f>""</f>
        <v/>
      </c>
      <c r="AY549" t="str">
        <f>""</f>
        <v/>
      </c>
      <c r="AZ549" t="str">
        <f>""</f>
        <v/>
      </c>
      <c r="BA549" t="str">
        <f>""</f>
        <v/>
      </c>
      <c r="BB549" t="str">
        <f>""</f>
        <v/>
      </c>
      <c r="BC549" t="str">
        <f t="shared" si="498"/>
        <v xml:space="preserve">   0.000</v>
      </c>
      <c r="BD549" t="str">
        <f t="shared" si="498"/>
        <v xml:space="preserve">   0.000</v>
      </c>
      <c r="BE549" t="str">
        <f t="shared" si="498"/>
        <v xml:space="preserve">   0.000</v>
      </c>
      <c r="BF549" t="str">
        <f t="shared" si="498"/>
        <v xml:space="preserve">   0.000</v>
      </c>
      <c r="BG549" t="str">
        <f t="shared" si="498"/>
        <v xml:space="preserve">   0.000</v>
      </c>
      <c r="BH549" t="str">
        <f t="shared" si="499"/>
        <v>しない</v>
      </c>
      <c r="BI549" t="str">
        <f>""</f>
        <v/>
      </c>
      <c r="BJ549" t="str">
        <f t="shared" si="478"/>
        <v>MASTER01</v>
      </c>
      <c r="BK549" t="str">
        <f>"2022/01/27"</f>
        <v>2022/01/27</v>
      </c>
      <c r="BL549" t="str">
        <f t="shared" si="473"/>
        <v>NE00</v>
      </c>
      <c r="BM549" t="str">
        <f t="shared" si="474"/>
        <v>１工工務Ｇ</v>
      </c>
      <c r="BN549" t="str">
        <f>"39091"</f>
        <v>39091</v>
      </c>
      <c r="BO549" t="str">
        <f>"佐竹　良太"</f>
        <v>佐竹　良太</v>
      </c>
    </row>
    <row r="550" spans="1:67">
      <c r="A550" t="s">
        <v>624</v>
      </c>
      <c r="B550" t="str">
        <f>""</f>
        <v/>
      </c>
      <c r="C550" t="str">
        <f>""</f>
        <v/>
      </c>
      <c r="D550" t="s">
        <v>106</v>
      </c>
      <c r="E550" t="str">
        <f t="shared" si="462"/>
        <v>1Y</v>
      </c>
      <c r="F550" t="str">
        <f t="shared" si="463"/>
        <v>第１工場</v>
      </c>
      <c r="G550" t="str">
        <f t="shared" si="475"/>
        <v>直送</v>
      </c>
      <c r="H550" t="str">
        <f t="shared" si="465"/>
        <v>Ｐ</v>
      </c>
      <c r="I550" t="str">
        <f>"1819"</f>
        <v>1819</v>
      </c>
      <c r="J550" t="str">
        <f>"（株）ゴーシュー"</f>
        <v>（株）ゴーシュー</v>
      </c>
      <c r="K550" t="str">
        <f t="shared" si="497"/>
        <v>01</v>
      </c>
      <c r="L550" t="str">
        <f>""</f>
        <v/>
      </c>
      <c r="M550" t="str">
        <f t="shared" si="500"/>
        <v>――</v>
      </c>
      <c r="N550" t="str">
        <f t="shared" si="500"/>
        <v>――</v>
      </c>
      <c r="O550" t="str">
        <f t="shared" si="476"/>
        <v>Ｐ</v>
      </c>
      <c r="P550" t="str">
        <f>"4003"</f>
        <v>4003</v>
      </c>
      <c r="Q550" t="str">
        <f>"エヌティーテクノ（株）"</f>
        <v>エヌティーテクノ（株）</v>
      </c>
      <c r="R550" t="str">
        <f t="shared" si="490"/>
        <v>01</v>
      </c>
      <c r="S550" t="str">
        <f>"本社工場"</f>
        <v>本社工場</v>
      </c>
      <c r="T550" t="str">
        <f t="shared" si="471"/>
        <v>直接</v>
      </c>
      <c r="U550" t="str">
        <f>""</f>
        <v/>
      </c>
      <c r="V550" t="str">
        <f>""</f>
        <v/>
      </c>
      <c r="W550" t="str">
        <f>""</f>
        <v/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1.1000000000000001</v>
      </c>
      <c r="AF550">
        <v>0.5</v>
      </c>
      <c r="AG550" t="str">
        <f>"087"</f>
        <v>087</v>
      </c>
      <c r="AH550" t="str">
        <f>"（株）ゴーシュー"</f>
        <v>（株）ゴーシュー</v>
      </c>
      <c r="AI550" t="str">
        <f>"001"</f>
        <v>001</v>
      </c>
      <c r="AJ550" t="str">
        <f t="shared" si="480"/>
        <v>CHOKUSOU</v>
      </c>
      <c r="AK550" t="str">
        <f>""</f>
        <v/>
      </c>
      <c r="AL550" t="str">
        <f>"9116"</f>
        <v>9116</v>
      </c>
      <c r="AM550" t="str">
        <f>"ﾛｰﾀｰｼｬﾌﾄ"</f>
        <v>ﾛｰﾀｰｼｬﾌﾄ</v>
      </c>
      <c r="AN550" t="str">
        <f>"004"</f>
        <v>004</v>
      </c>
      <c r="AO550" t="str">
        <f>"Bﾊﾟﾚ ﾊﾝﾖｳ"</f>
        <v>Bﾊﾟﾚ ﾊﾝﾖｳ</v>
      </c>
      <c r="AP550">
        <v>90</v>
      </c>
      <c r="AQ550" t="str">
        <f>""</f>
        <v/>
      </c>
      <c r="AR550" t="str">
        <f>""</f>
        <v/>
      </c>
      <c r="AS550" t="str">
        <f>""</f>
        <v/>
      </c>
      <c r="AT550" t="str">
        <f t="shared" si="461"/>
        <v>00</v>
      </c>
      <c r="AU550">
        <v>1</v>
      </c>
      <c r="AV550" t="str">
        <f>""</f>
        <v/>
      </c>
      <c r="AW550" t="str">
        <f>""</f>
        <v/>
      </c>
      <c r="AX550" t="str">
        <f>""</f>
        <v/>
      </c>
      <c r="AY550" t="str">
        <f>""</f>
        <v/>
      </c>
      <c r="AZ550" t="str">
        <f>""</f>
        <v/>
      </c>
      <c r="BA550" t="str">
        <f>""</f>
        <v/>
      </c>
      <c r="BB550" t="str">
        <f>""</f>
        <v/>
      </c>
      <c r="BC550" t="str">
        <f>" 535.000"</f>
        <v xml:space="preserve"> 535.000</v>
      </c>
      <c r="BD550" t="str">
        <f>" 830.000"</f>
        <v xml:space="preserve"> 830.000</v>
      </c>
      <c r="BE550" t="str">
        <f>" 540.000"</f>
        <v xml:space="preserve"> 540.000</v>
      </c>
      <c r="BF550" t="str">
        <f>"   0.240"</f>
        <v xml:space="preserve">   0.240</v>
      </c>
      <c r="BG550" t="str">
        <f>" 305.900"</f>
        <v xml:space="preserve"> 305.900</v>
      </c>
      <c r="BH550" t="str">
        <f t="shared" si="499"/>
        <v>しない</v>
      </c>
      <c r="BI550" t="str">
        <f>""</f>
        <v/>
      </c>
      <c r="BJ550" t="str">
        <f t="shared" si="478"/>
        <v>MASTER01</v>
      </c>
      <c r="BK550" t="str">
        <f>"2023/01/17"</f>
        <v>2023/01/17</v>
      </c>
      <c r="BL550" t="str">
        <f t="shared" si="473"/>
        <v>NE00</v>
      </c>
      <c r="BM550" t="str">
        <f t="shared" si="474"/>
        <v>１工工務Ｇ</v>
      </c>
      <c r="BN550" t="str">
        <f>"46548"</f>
        <v>46548</v>
      </c>
      <c r="BO550" t="str">
        <f>"長畑　玲奈"</f>
        <v>長畑　玲奈</v>
      </c>
    </row>
    <row r="551" spans="1:67">
      <c r="A551" t="s">
        <v>625</v>
      </c>
      <c r="B551" t="str">
        <f>""</f>
        <v/>
      </c>
      <c r="C551" t="str">
        <f>""</f>
        <v/>
      </c>
      <c r="D551" t="s">
        <v>110</v>
      </c>
      <c r="E551" t="str">
        <f t="shared" si="462"/>
        <v>1Y</v>
      </c>
      <c r="F551" t="str">
        <f t="shared" si="463"/>
        <v>第１工場</v>
      </c>
      <c r="G551" t="str">
        <f t="shared" si="475"/>
        <v>直送</v>
      </c>
      <c r="H551" t="str">
        <f t="shared" si="465"/>
        <v>Ｐ</v>
      </c>
      <c r="I551" t="str">
        <f>"4241"</f>
        <v>4241</v>
      </c>
      <c r="J551" t="str">
        <f>"ＮＯＫ（株）"</f>
        <v>ＮＯＫ（株）</v>
      </c>
      <c r="K551" t="str">
        <f t="shared" si="497"/>
        <v>01</v>
      </c>
      <c r="L551" t="str">
        <f>""</f>
        <v/>
      </c>
      <c r="M551" t="str">
        <f t="shared" si="500"/>
        <v>――</v>
      </c>
      <c r="N551" t="str">
        <f t="shared" si="500"/>
        <v>――</v>
      </c>
      <c r="O551" t="str">
        <f t="shared" si="476"/>
        <v>Ｐ</v>
      </c>
      <c r="P551" t="str">
        <f>"4267"</f>
        <v>4267</v>
      </c>
      <c r="Q551" t="str">
        <f>"（株）バルカー"</f>
        <v>（株）バルカー</v>
      </c>
      <c r="R551" t="str">
        <f t="shared" si="490"/>
        <v>01</v>
      </c>
      <c r="S551" t="str">
        <f>"豊田営業所"</f>
        <v>豊田営業所</v>
      </c>
      <c r="T551" t="str">
        <f t="shared" si="471"/>
        <v>直接</v>
      </c>
      <c r="U551" t="str">
        <f>""</f>
        <v/>
      </c>
      <c r="V551" t="str">
        <f>""</f>
        <v/>
      </c>
      <c r="W551" t="str">
        <f>""</f>
        <v/>
      </c>
      <c r="X551">
        <v>1</v>
      </c>
      <c r="Y551">
        <v>1</v>
      </c>
      <c r="Z551">
        <v>1</v>
      </c>
      <c r="AA551">
        <v>1.25</v>
      </c>
      <c r="AB551">
        <v>3</v>
      </c>
      <c r="AC551">
        <v>1.25</v>
      </c>
      <c r="AD551">
        <v>1.25</v>
      </c>
      <c r="AE551">
        <v>1.1000000000000001</v>
      </c>
      <c r="AF551">
        <v>0.5</v>
      </c>
      <c r="AG551" t="str">
        <f>"047"</f>
        <v>047</v>
      </c>
      <c r="AH551" t="str">
        <f>"ＮＯＫ（株）"</f>
        <v>ＮＯＫ（株）</v>
      </c>
      <c r="AI551" t="str">
        <f>"010"</f>
        <v>010</v>
      </c>
      <c r="AJ551" t="str">
        <f t="shared" si="480"/>
        <v>CHOKUSOU</v>
      </c>
      <c r="AK551" t="str">
        <f>""</f>
        <v/>
      </c>
      <c r="AL551" t="str">
        <f>"3941"</f>
        <v>3941</v>
      </c>
      <c r="AM551" t="s">
        <v>111</v>
      </c>
      <c r="AN551" t="str">
        <f>"012"</f>
        <v>012</v>
      </c>
      <c r="AO551" t="str">
        <f>"TP-131 ﾊﾝﾖｳ"</f>
        <v>TP-131 ﾊﾝﾖｳ</v>
      </c>
      <c r="AP551">
        <v>400</v>
      </c>
      <c r="AQ551" t="str">
        <f>""</f>
        <v/>
      </c>
      <c r="AR551" t="str">
        <f>""</f>
        <v/>
      </c>
      <c r="AS551" t="str">
        <f>""</f>
        <v/>
      </c>
      <c r="AT551" t="str">
        <f t="shared" si="461"/>
        <v>00</v>
      </c>
      <c r="AU551">
        <v>0.5</v>
      </c>
      <c r="AV551" t="str">
        <f>""</f>
        <v/>
      </c>
      <c r="AW551" t="str">
        <f>""</f>
        <v/>
      </c>
      <c r="AX551" t="str">
        <f>""</f>
        <v/>
      </c>
      <c r="AY551" t="str">
        <f>""</f>
        <v/>
      </c>
      <c r="AZ551" t="str">
        <f>""</f>
        <v/>
      </c>
      <c r="BA551" t="str">
        <f>""</f>
        <v/>
      </c>
      <c r="BB551" t="str">
        <f>""</f>
        <v/>
      </c>
      <c r="BC551" t="str">
        <f t="shared" ref="BC551:BG552" si="501">"   0.000"</f>
        <v xml:space="preserve">   0.000</v>
      </c>
      <c r="BD551" t="str">
        <f t="shared" si="501"/>
        <v xml:space="preserve">   0.000</v>
      </c>
      <c r="BE551" t="str">
        <f t="shared" si="501"/>
        <v xml:space="preserve">   0.000</v>
      </c>
      <c r="BF551" t="str">
        <f t="shared" si="501"/>
        <v xml:space="preserve">   0.000</v>
      </c>
      <c r="BG551" t="str">
        <f t="shared" si="501"/>
        <v xml:space="preserve">   0.000</v>
      </c>
      <c r="BH551" t="str">
        <f t="shared" si="499"/>
        <v>しない</v>
      </c>
      <c r="BI551" t="str">
        <f>""</f>
        <v/>
      </c>
      <c r="BJ551" t="str">
        <f t="shared" si="478"/>
        <v>MASTER01</v>
      </c>
      <c r="BK551" t="str">
        <f t="shared" ref="BK551:BK556" si="502">"2022/01/27"</f>
        <v>2022/01/27</v>
      </c>
      <c r="BL551" t="str">
        <f t="shared" si="473"/>
        <v>NE00</v>
      </c>
      <c r="BM551" t="str">
        <f t="shared" si="474"/>
        <v>１工工務Ｇ</v>
      </c>
      <c r="BN551" t="str">
        <f t="shared" ref="BN551:BN556" si="503">"39091"</f>
        <v>39091</v>
      </c>
      <c r="BO551" t="str">
        <f t="shared" ref="BO551:BO556" si="504">"佐竹　良太"</f>
        <v>佐竹　良太</v>
      </c>
    </row>
    <row r="552" spans="1:67">
      <c r="A552" t="s">
        <v>625</v>
      </c>
      <c r="B552" t="str">
        <f>""</f>
        <v/>
      </c>
      <c r="C552" t="str">
        <f>""</f>
        <v/>
      </c>
      <c r="D552" t="s">
        <v>110</v>
      </c>
      <c r="E552" t="str">
        <f t="shared" si="462"/>
        <v>1Y</v>
      </c>
      <c r="F552" t="str">
        <f t="shared" si="463"/>
        <v>第１工場</v>
      </c>
      <c r="G552" t="str">
        <f t="shared" si="475"/>
        <v>直送</v>
      </c>
      <c r="H552" t="str">
        <f t="shared" si="465"/>
        <v>Ｐ</v>
      </c>
      <c r="I552" t="str">
        <f>"4241"</f>
        <v>4241</v>
      </c>
      <c r="J552" t="str">
        <f>"ＮＯＫ（株）"</f>
        <v>ＮＯＫ（株）</v>
      </c>
      <c r="K552" t="str">
        <f t="shared" si="497"/>
        <v>01</v>
      </c>
      <c r="L552" t="str">
        <f>""</f>
        <v/>
      </c>
      <c r="M552" t="str">
        <f t="shared" si="500"/>
        <v>――</v>
      </c>
      <c r="N552" t="str">
        <f t="shared" si="500"/>
        <v>――</v>
      </c>
      <c r="O552" t="str">
        <f t="shared" si="476"/>
        <v>Ｐ</v>
      </c>
      <c r="P552" t="str">
        <f>"4267"</f>
        <v>4267</v>
      </c>
      <c r="Q552" t="str">
        <f>"（株）バルカー"</f>
        <v>（株）バルカー</v>
      </c>
      <c r="R552" t="str">
        <f>"02"</f>
        <v>02</v>
      </c>
      <c r="S552" t="str">
        <f>"（株）新晃製作所"</f>
        <v>（株）新晃製作所</v>
      </c>
      <c r="T552" t="str">
        <f t="shared" si="471"/>
        <v>直接</v>
      </c>
      <c r="U552" t="str">
        <f>""</f>
        <v/>
      </c>
      <c r="V552" t="str">
        <f>""</f>
        <v/>
      </c>
      <c r="W552" t="str">
        <f>""</f>
        <v/>
      </c>
      <c r="X552">
        <v>1</v>
      </c>
      <c r="Y552">
        <v>1</v>
      </c>
      <c r="Z552">
        <v>1</v>
      </c>
      <c r="AA552">
        <v>1.25</v>
      </c>
      <c r="AB552">
        <v>3</v>
      </c>
      <c r="AC552">
        <v>1.25</v>
      </c>
      <c r="AD552">
        <v>1.25</v>
      </c>
      <c r="AE552">
        <v>1.1000000000000001</v>
      </c>
      <c r="AF552">
        <v>0.5</v>
      </c>
      <c r="AG552" t="str">
        <f>"047"</f>
        <v>047</v>
      </c>
      <c r="AH552" t="str">
        <f>"ＮＯＫ（株）"</f>
        <v>ＮＯＫ（株）</v>
      </c>
      <c r="AI552" t="str">
        <f>"010"</f>
        <v>010</v>
      </c>
      <c r="AJ552" t="str">
        <f t="shared" si="480"/>
        <v>CHOKUSOU</v>
      </c>
      <c r="AK552" t="str">
        <f>""</f>
        <v/>
      </c>
      <c r="AL552" t="str">
        <f>"3941"</f>
        <v>3941</v>
      </c>
      <c r="AM552" t="s">
        <v>111</v>
      </c>
      <c r="AN552" t="str">
        <f>"012"</f>
        <v>012</v>
      </c>
      <c r="AO552" t="str">
        <f>"TP-131 ﾊﾝﾖｳ"</f>
        <v>TP-131 ﾊﾝﾖｳ</v>
      </c>
      <c r="AP552">
        <v>400</v>
      </c>
      <c r="AQ552" t="str">
        <f>""</f>
        <v/>
      </c>
      <c r="AR552" t="str">
        <f>""</f>
        <v/>
      </c>
      <c r="AS552" t="str">
        <f>""</f>
        <v/>
      </c>
      <c r="AT552" t="str">
        <f t="shared" si="461"/>
        <v>00</v>
      </c>
      <c r="AU552">
        <v>0.5</v>
      </c>
      <c r="AV552" t="str">
        <f>""</f>
        <v/>
      </c>
      <c r="AW552" t="str">
        <f>""</f>
        <v/>
      </c>
      <c r="AX552" t="str">
        <f>""</f>
        <v/>
      </c>
      <c r="AY552" t="str">
        <f>""</f>
        <v/>
      </c>
      <c r="AZ552" t="str">
        <f>""</f>
        <v/>
      </c>
      <c r="BA552" t="str">
        <f>""</f>
        <v/>
      </c>
      <c r="BB552" t="str">
        <f>""</f>
        <v/>
      </c>
      <c r="BC552" t="str">
        <f t="shared" si="501"/>
        <v xml:space="preserve">   0.000</v>
      </c>
      <c r="BD552" t="str">
        <f t="shared" si="501"/>
        <v xml:space="preserve">   0.000</v>
      </c>
      <c r="BE552" t="str">
        <f t="shared" si="501"/>
        <v xml:space="preserve">   0.000</v>
      </c>
      <c r="BF552" t="str">
        <f t="shared" si="501"/>
        <v xml:space="preserve">   0.000</v>
      </c>
      <c r="BG552" t="str">
        <f t="shared" si="501"/>
        <v xml:space="preserve">   0.000</v>
      </c>
      <c r="BH552" t="str">
        <f t="shared" si="499"/>
        <v>しない</v>
      </c>
      <c r="BI552" t="str">
        <f>""</f>
        <v/>
      </c>
      <c r="BJ552" t="str">
        <f t="shared" si="478"/>
        <v>MASTER01</v>
      </c>
      <c r="BK552" t="str">
        <f t="shared" si="502"/>
        <v>2022/01/27</v>
      </c>
      <c r="BL552" t="str">
        <f t="shared" si="473"/>
        <v>NE00</v>
      </c>
      <c r="BM552" t="str">
        <f t="shared" si="474"/>
        <v>１工工務Ｇ</v>
      </c>
      <c r="BN552" t="str">
        <f t="shared" si="503"/>
        <v>39091</v>
      </c>
      <c r="BO552" t="str">
        <f t="shared" si="504"/>
        <v>佐竹　良太</v>
      </c>
    </row>
    <row r="553" spans="1:67">
      <c r="A553" t="s">
        <v>626</v>
      </c>
      <c r="B553" t="str">
        <f>""</f>
        <v/>
      </c>
      <c r="C553" t="str">
        <f>""</f>
        <v/>
      </c>
      <c r="D553" t="s">
        <v>112</v>
      </c>
      <c r="E553" t="str">
        <f t="shared" si="462"/>
        <v>1Y</v>
      </c>
      <c r="F553" t="str">
        <f t="shared" si="463"/>
        <v>第１工場</v>
      </c>
      <c r="G553" t="str">
        <f t="shared" si="475"/>
        <v>直送</v>
      </c>
      <c r="H553" t="str">
        <f t="shared" si="465"/>
        <v>Ｐ</v>
      </c>
      <c r="I553" t="str">
        <f>"3407"</f>
        <v>3407</v>
      </c>
      <c r="J553" t="str">
        <f>"（株）槌屋"</f>
        <v>（株）槌屋</v>
      </c>
      <c r="K553" t="str">
        <f>"02"</f>
        <v>02</v>
      </c>
      <c r="L553" t="str">
        <f>"デカル"</f>
        <v>デカル</v>
      </c>
      <c r="M553" t="str">
        <f t="shared" si="500"/>
        <v>――</v>
      </c>
      <c r="N553" t="str">
        <f t="shared" si="500"/>
        <v>――</v>
      </c>
      <c r="O553" t="str">
        <f t="shared" si="476"/>
        <v>Ｐ</v>
      </c>
      <c r="P553" t="str">
        <f>"6108"</f>
        <v>6108</v>
      </c>
      <c r="Q553" t="str">
        <f>"（株）三井ハイテック"</f>
        <v>（株）三井ハイテック</v>
      </c>
      <c r="R553" t="str">
        <f>"01"</f>
        <v>01</v>
      </c>
      <c r="S553" t="str">
        <f>"岡谷物流"</f>
        <v>岡谷物流</v>
      </c>
      <c r="T553" t="str">
        <f t="shared" si="471"/>
        <v>直接</v>
      </c>
      <c r="U553" t="str">
        <f>""</f>
        <v/>
      </c>
      <c r="V553" t="str">
        <f>""</f>
        <v/>
      </c>
      <c r="W553" t="str">
        <f>""</f>
        <v/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0.5</v>
      </c>
      <c r="AG553" t="str">
        <f>"135"</f>
        <v>135</v>
      </c>
      <c r="AH553" t="str">
        <f>"（株）槌屋"</f>
        <v>（株）槌屋</v>
      </c>
      <c r="AI553" t="str">
        <f>"001"</f>
        <v>001</v>
      </c>
      <c r="AJ553" t="str">
        <f t="shared" si="480"/>
        <v>CHOKUSOU</v>
      </c>
      <c r="AK553" t="str">
        <f>""</f>
        <v/>
      </c>
      <c r="AL553" t="str">
        <f>"0120"</f>
        <v>0120</v>
      </c>
      <c r="AM553" t="str">
        <f>"ﾏｸﾞﾈﾂﾄ"</f>
        <v>ﾏｸﾞﾈﾂﾄ</v>
      </c>
      <c r="AN553" t="str">
        <f>"011"</f>
        <v>011</v>
      </c>
      <c r="AO553" t="str">
        <f>"ﾀﾞﾝﾎﾞ-ﾙ ﾊﾞｺ"</f>
        <v>ﾀﾞﾝﾎﾞ-ﾙ ﾊﾞｺ</v>
      </c>
      <c r="AP553">
        <v>288</v>
      </c>
      <c r="AQ553" t="str">
        <f>""</f>
        <v/>
      </c>
      <c r="AR553" t="str">
        <f>""</f>
        <v/>
      </c>
      <c r="AS553" t="str">
        <f>""</f>
        <v/>
      </c>
      <c r="AT553" t="str">
        <f t="shared" si="461"/>
        <v>00</v>
      </c>
      <c r="AU553">
        <v>1</v>
      </c>
      <c r="AV553" t="str">
        <f>""</f>
        <v/>
      </c>
      <c r="AW553" t="str">
        <f>""</f>
        <v/>
      </c>
      <c r="AX553" t="str">
        <f>""</f>
        <v/>
      </c>
      <c r="AY553" t="str">
        <f>""</f>
        <v/>
      </c>
      <c r="AZ553" t="str">
        <f>""</f>
        <v/>
      </c>
      <c r="BA553" t="str">
        <f>""</f>
        <v/>
      </c>
      <c r="BB553" t="str">
        <f>""</f>
        <v/>
      </c>
      <c r="BC553" t="str">
        <f>" 275.000"</f>
        <v xml:space="preserve"> 275.000</v>
      </c>
      <c r="BD553" t="str">
        <f>" 205.000"</f>
        <v xml:space="preserve"> 205.000</v>
      </c>
      <c r="BE553" t="str">
        <f>" 155.000"</f>
        <v xml:space="preserve"> 155.000</v>
      </c>
      <c r="BF553" t="str">
        <f>"   0.009"</f>
        <v xml:space="preserve">   0.009</v>
      </c>
      <c r="BG553" t="str">
        <f>"   8.010"</f>
        <v xml:space="preserve">   8.010</v>
      </c>
      <c r="BH553" t="str">
        <f t="shared" si="499"/>
        <v>しない</v>
      </c>
      <c r="BI553" t="str">
        <f>""</f>
        <v/>
      </c>
      <c r="BJ553" t="str">
        <f t="shared" si="478"/>
        <v>MASTER01</v>
      </c>
      <c r="BK553" t="str">
        <f t="shared" si="502"/>
        <v>2022/01/27</v>
      </c>
      <c r="BL553" t="str">
        <f t="shared" si="473"/>
        <v>NE00</v>
      </c>
      <c r="BM553" t="str">
        <f t="shared" si="474"/>
        <v>１工工務Ｇ</v>
      </c>
      <c r="BN553" t="str">
        <f t="shared" si="503"/>
        <v>39091</v>
      </c>
      <c r="BO553" t="str">
        <f t="shared" si="504"/>
        <v>佐竹　良太</v>
      </c>
    </row>
    <row r="554" spans="1:67">
      <c r="A554" t="s">
        <v>627</v>
      </c>
      <c r="B554" t="str">
        <f>""</f>
        <v/>
      </c>
      <c r="C554" t="str">
        <f>""</f>
        <v/>
      </c>
      <c r="D554" t="s">
        <v>112</v>
      </c>
      <c r="E554" t="str">
        <f t="shared" si="462"/>
        <v>1Y</v>
      </c>
      <c r="F554" t="str">
        <f t="shared" si="463"/>
        <v>第１工場</v>
      </c>
      <c r="G554" t="str">
        <f t="shared" si="475"/>
        <v>直送</v>
      </c>
      <c r="H554" t="str">
        <f t="shared" si="465"/>
        <v>Ｐ</v>
      </c>
      <c r="I554" t="str">
        <f>"3407"</f>
        <v>3407</v>
      </c>
      <c r="J554" t="str">
        <f>"（株）槌屋"</f>
        <v>（株）槌屋</v>
      </c>
      <c r="K554" t="str">
        <f>"02"</f>
        <v>02</v>
      </c>
      <c r="L554" t="str">
        <f>"デカル"</f>
        <v>デカル</v>
      </c>
      <c r="M554" t="str">
        <f t="shared" si="500"/>
        <v>――</v>
      </c>
      <c r="N554" t="str">
        <f t="shared" si="500"/>
        <v>――</v>
      </c>
      <c r="O554" t="str">
        <f t="shared" si="476"/>
        <v>Ｐ</v>
      </c>
      <c r="P554" t="str">
        <f>"6108"</f>
        <v>6108</v>
      </c>
      <c r="Q554" t="str">
        <f>"（株）三井ハイテック"</f>
        <v>（株）三井ハイテック</v>
      </c>
      <c r="R554" t="str">
        <f>"01"</f>
        <v>01</v>
      </c>
      <c r="S554" t="str">
        <f>"岡谷物流"</f>
        <v>岡谷物流</v>
      </c>
      <c r="T554" t="str">
        <f t="shared" si="471"/>
        <v>直接</v>
      </c>
      <c r="U554" t="str">
        <f>""</f>
        <v/>
      </c>
      <c r="V554" t="str">
        <f>""</f>
        <v/>
      </c>
      <c r="W554" t="str">
        <f>""</f>
        <v/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0.5</v>
      </c>
      <c r="AG554" t="str">
        <f>"135"</f>
        <v>135</v>
      </c>
      <c r="AH554" t="str">
        <f>"（株）槌屋"</f>
        <v>（株）槌屋</v>
      </c>
      <c r="AI554" t="str">
        <f>"002"</f>
        <v>002</v>
      </c>
      <c r="AJ554" t="str">
        <f t="shared" si="480"/>
        <v>CHOKUSOU</v>
      </c>
      <c r="AK554" t="str">
        <f>""</f>
        <v/>
      </c>
      <c r="AL554" t="str">
        <f>"0120"</f>
        <v>0120</v>
      </c>
      <c r="AM554" t="str">
        <f>"ﾏｸﾞﾈﾂﾄ"</f>
        <v>ﾏｸﾞﾈﾂﾄ</v>
      </c>
      <c r="AN554" t="str">
        <f>"011"</f>
        <v>011</v>
      </c>
      <c r="AO554" t="str">
        <f>"ﾀﾞﾝﾎﾞ-ﾙ ﾊﾞｺ"</f>
        <v>ﾀﾞﾝﾎﾞ-ﾙ ﾊﾞｺ</v>
      </c>
      <c r="AP554">
        <v>576</v>
      </c>
      <c r="AQ554" t="str">
        <f>""</f>
        <v/>
      </c>
      <c r="AR554" t="str">
        <f>""</f>
        <v/>
      </c>
      <c r="AS554" t="str">
        <f>""</f>
        <v/>
      </c>
      <c r="AT554" t="str">
        <f t="shared" si="461"/>
        <v>00</v>
      </c>
      <c r="AU554">
        <v>1</v>
      </c>
      <c r="AV554" t="str">
        <f>""</f>
        <v/>
      </c>
      <c r="AW554" t="str">
        <f>""</f>
        <v/>
      </c>
      <c r="AX554" t="str">
        <f>""</f>
        <v/>
      </c>
      <c r="AY554" t="str">
        <f>""</f>
        <v/>
      </c>
      <c r="AZ554" t="str">
        <f>""</f>
        <v/>
      </c>
      <c r="BA554" t="str">
        <f>""</f>
        <v/>
      </c>
      <c r="BB554" t="str">
        <f>""</f>
        <v/>
      </c>
      <c r="BC554" t="str">
        <f>" 275.000"</f>
        <v xml:space="preserve"> 275.000</v>
      </c>
      <c r="BD554" t="str">
        <f>" 205.000"</f>
        <v xml:space="preserve"> 205.000</v>
      </c>
      <c r="BE554" t="str">
        <f>" 155.000"</f>
        <v xml:space="preserve"> 155.000</v>
      </c>
      <c r="BF554" t="str">
        <f>"   0.009"</f>
        <v xml:space="preserve">   0.009</v>
      </c>
      <c r="BG554" t="str">
        <f>"  11.510"</f>
        <v xml:space="preserve">  11.510</v>
      </c>
      <c r="BH554" t="str">
        <f t="shared" si="499"/>
        <v>しない</v>
      </c>
      <c r="BI554" t="str">
        <f>""</f>
        <v/>
      </c>
      <c r="BJ554" t="str">
        <f t="shared" si="478"/>
        <v>MASTER01</v>
      </c>
      <c r="BK554" t="str">
        <f t="shared" si="502"/>
        <v>2022/01/27</v>
      </c>
      <c r="BL554" t="str">
        <f t="shared" si="473"/>
        <v>NE00</v>
      </c>
      <c r="BM554" t="str">
        <f t="shared" si="474"/>
        <v>１工工務Ｇ</v>
      </c>
      <c r="BN554" t="str">
        <f t="shared" si="503"/>
        <v>39091</v>
      </c>
      <c r="BO554" t="str">
        <f t="shared" si="504"/>
        <v>佐竹　良太</v>
      </c>
    </row>
    <row r="555" spans="1:67">
      <c r="A555" t="s">
        <v>628</v>
      </c>
      <c r="B555" t="str">
        <f>""</f>
        <v/>
      </c>
      <c r="C555" t="str">
        <f>""</f>
        <v/>
      </c>
      <c r="D555" t="str">
        <f>"CAP"</f>
        <v>CAP</v>
      </c>
      <c r="E555" t="str">
        <f t="shared" si="462"/>
        <v>1Y</v>
      </c>
      <c r="F555" t="str">
        <f t="shared" si="463"/>
        <v>第１工場</v>
      </c>
      <c r="G555" t="str">
        <f t="shared" si="475"/>
        <v>直送</v>
      </c>
      <c r="H555" t="str">
        <f t="shared" si="465"/>
        <v>Ｐ</v>
      </c>
      <c r="I555" t="str">
        <f>"0024"</f>
        <v>0024</v>
      </c>
      <c r="J555" t="str">
        <f>"（株）青山製作所"</f>
        <v>（株）青山製作所</v>
      </c>
      <c r="K555" t="str">
        <f>"01"</f>
        <v>01</v>
      </c>
      <c r="L555" t="str">
        <f>""</f>
        <v/>
      </c>
      <c r="M555" t="str">
        <f t="shared" si="500"/>
        <v>――</v>
      </c>
      <c r="N555" t="str">
        <f t="shared" si="500"/>
        <v>――</v>
      </c>
      <c r="O555" t="str">
        <f t="shared" si="476"/>
        <v>Ｐ</v>
      </c>
      <c r="P555" t="str">
        <f>"7002"</f>
        <v>7002</v>
      </c>
      <c r="Q555" t="str">
        <f>"矢崎総業（株）"</f>
        <v>矢崎総業（株）</v>
      </c>
      <c r="R555" t="str">
        <f>"01"</f>
        <v>01</v>
      </c>
      <c r="S555" t="str">
        <f>""</f>
        <v/>
      </c>
      <c r="T555" t="str">
        <f t="shared" si="471"/>
        <v>直接</v>
      </c>
      <c r="U555" t="str">
        <f>""</f>
        <v/>
      </c>
      <c r="V555" t="str">
        <f>""</f>
        <v/>
      </c>
      <c r="W555" t="str">
        <f>""</f>
        <v/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1.1000000000000001</v>
      </c>
      <c r="AF555">
        <v>0.5</v>
      </c>
      <c r="AG555" t="str">
        <f>"006"</f>
        <v>006</v>
      </c>
      <c r="AH555" t="str">
        <f>"（株）青山製作所"</f>
        <v>（株）青山製作所</v>
      </c>
      <c r="AI555" t="str">
        <f>"001"</f>
        <v>001</v>
      </c>
      <c r="AJ555" t="str">
        <f t="shared" si="480"/>
        <v>CHOKUSOU</v>
      </c>
      <c r="AK555" t="str">
        <f>""</f>
        <v/>
      </c>
      <c r="AL555" t="str">
        <f>"0279"</f>
        <v>0279</v>
      </c>
      <c r="AM555" t="s">
        <v>113</v>
      </c>
      <c r="AN555" t="str">
        <f>"012"</f>
        <v>012</v>
      </c>
      <c r="AO555" t="str">
        <f>"TP-131 ﾊﾝﾖｳ"</f>
        <v>TP-131 ﾊﾝﾖｳ</v>
      </c>
      <c r="AP555">
        <v>1000</v>
      </c>
      <c r="AQ555" t="str">
        <f>""</f>
        <v/>
      </c>
      <c r="AR555" t="str">
        <f>""</f>
        <v/>
      </c>
      <c r="AS555" t="str">
        <f>""</f>
        <v/>
      </c>
      <c r="AT555" t="str">
        <f t="shared" si="461"/>
        <v>00</v>
      </c>
      <c r="AU555">
        <v>0</v>
      </c>
      <c r="AV555" t="str">
        <f>""</f>
        <v/>
      </c>
      <c r="AW555" t="str">
        <f>""</f>
        <v/>
      </c>
      <c r="AX555" t="str">
        <f>""</f>
        <v/>
      </c>
      <c r="AY555" t="str">
        <f>""</f>
        <v/>
      </c>
      <c r="AZ555" t="str">
        <f>""</f>
        <v/>
      </c>
      <c r="BA555" t="str">
        <f>""</f>
        <v/>
      </c>
      <c r="BB555" t="str">
        <f>""</f>
        <v/>
      </c>
      <c r="BC555" t="str">
        <f t="shared" ref="BC555:BG557" si="505">"   0.000"</f>
        <v xml:space="preserve">   0.000</v>
      </c>
      <c r="BD555" t="str">
        <f t="shared" si="505"/>
        <v xml:space="preserve">   0.000</v>
      </c>
      <c r="BE555" t="str">
        <f t="shared" si="505"/>
        <v xml:space="preserve">   0.000</v>
      </c>
      <c r="BF555" t="str">
        <f t="shared" si="505"/>
        <v xml:space="preserve">   0.000</v>
      </c>
      <c r="BG555" t="str">
        <f t="shared" si="505"/>
        <v xml:space="preserve">   0.000</v>
      </c>
      <c r="BH555" t="str">
        <f t="shared" si="499"/>
        <v>しない</v>
      </c>
      <c r="BI555" t="str">
        <f>""</f>
        <v/>
      </c>
      <c r="BJ555" t="str">
        <f t="shared" si="478"/>
        <v>MASTER01</v>
      </c>
      <c r="BK555" t="str">
        <f t="shared" si="502"/>
        <v>2022/01/27</v>
      </c>
      <c r="BL555" t="str">
        <f t="shared" si="473"/>
        <v>NE00</v>
      </c>
      <c r="BM555" t="str">
        <f t="shared" si="474"/>
        <v>１工工務Ｇ</v>
      </c>
      <c r="BN555" t="str">
        <f t="shared" si="503"/>
        <v>39091</v>
      </c>
      <c r="BO555" t="str">
        <f t="shared" si="504"/>
        <v>佐竹　良太</v>
      </c>
    </row>
    <row r="556" spans="1:67">
      <c r="A556" t="s">
        <v>629</v>
      </c>
      <c r="B556" t="str">
        <f>""</f>
        <v/>
      </c>
      <c r="C556" t="str">
        <f>""</f>
        <v/>
      </c>
      <c r="D556" t="str">
        <f>"NUT"</f>
        <v>NUT</v>
      </c>
      <c r="E556" t="str">
        <f t="shared" si="462"/>
        <v>1Y</v>
      </c>
      <c r="F556" t="str">
        <f t="shared" si="463"/>
        <v>第１工場</v>
      </c>
      <c r="G556" t="str">
        <f t="shared" si="475"/>
        <v>直送</v>
      </c>
      <c r="H556" t="str">
        <f t="shared" si="465"/>
        <v>Ｐ</v>
      </c>
      <c r="I556" t="str">
        <f>"0024"</f>
        <v>0024</v>
      </c>
      <c r="J556" t="str">
        <f>"（株）青山製作所"</f>
        <v>（株）青山製作所</v>
      </c>
      <c r="K556" t="str">
        <f>"01"</f>
        <v>01</v>
      </c>
      <c r="L556" t="str">
        <f>""</f>
        <v/>
      </c>
      <c r="M556" t="str">
        <f t="shared" si="500"/>
        <v>――</v>
      </c>
      <c r="N556" t="str">
        <f t="shared" si="500"/>
        <v>――</v>
      </c>
      <c r="O556" t="str">
        <f t="shared" si="476"/>
        <v>Ｐ</v>
      </c>
      <c r="P556" t="str">
        <f>"7002"</f>
        <v>7002</v>
      </c>
      <c r="Q556" t="str">
        <f>"矢崎総業（株）"</f>
        <v>矢崎総業（株）</v>
      </c>
      <c r="R556" t="str">
        <f>"01"</f>
        <v>01</v>
      </c>
      <c r="S556" t="str">
        <f>""</f>
        <v/>
      </c>
      <c r="T556" t="str">
        <f t="shared" si="471"/>
        <v>直接</v>
      </c>
      <c r="U556" t="str">
        <f>""</f>
        <v/>
      </c>
      <c r="V556" t="str">
        <f>""</f>
        <v/>
      </c>
      <c r="W556" t="str">
        <f>""</f>
        <v/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1.1000000000000001</v>
      </c>
      <c r="AF556">
        <v>0.5</v>
      </c>
      <c r="AG556" t="str">
        <f>"006"</f>
        <v>006</v>
      </c>
      <c r="AH556" t="str">
        <f>"（株）青山製作所"</f>
        <v>（株）青山製作所</v>
      </c>
      <c r="AI556" t="str">
        <f>"002"</f>
        <v>002</v>
      </c>
      <c r="AJ556" t="str">
        <f t="shared" si="480"/>
        <v>CHOKUSOU</v>
      </c>
      <c r="AK556" t="str">
        <f>""</f>
        <v/>
      </c>
      <c r="AL556" t="str">
        <f>"0045"</f>
        <v>0045</v>
      </c>
      <c r="AM556" t="str">
        <f>"ﾅｯﾄ"</f>
        <v>ﾅｯﾄ</v>
      </c>
      <c r="AN556" t="str">
        <f>"014"</f>
        <v>014</v>
      </c>
      <c r="AO556" t="str">
        <f>"TP-331 ﾊﾝﾖｳ"</f>
        <v>TP-331 ﾊﾝﾖｳ</v>
      </c>
      <c r="AP556">
        <v>2000</v>
      </c>
      <c r="AQ556" t="str">
        <f>""</f>
        <v/>
      </c>
      <c r="AR556" t="str">
        <f>""</f>
        <v/>
      </c>
      <c r="AS556" t="str">
        <f>""</f>
        <v/>
      </c>
      <c r="AT556" t="str">
        <f t="shared" si="461"/>
        <v>00</v>
      </c>
      <c r="AU556">
        <v>0</v>
      </c>
      <c r="AV556" t="str">
        <f>""</f>
        <v/>
      </c>
      <c r="AW556" t="str">
        <f>""</f>
        <v/>
      </c>
      <c r="AX556" t="str">
        <f>""</f>
        <v/>
      </c>
      <c r="AY556" t="str">
        <f>""</f>
        <v/>
      </c>
      <c r="AZ556" t="str">
        <f>""</f>
        <v/>
      </c>
      <c r="BA556" t="str">
        <f>""</f>
        <v/>
      </c>
      <c r="BB556" t="str">
        <f>""</f>
        <v/>
      </c>
      <c r="BC556" t="str">
        <f t="shared" si="505"/>
        <v xml:space="preserve">   0.000</v>
      </c>
      <c r="BD556" t="str">
        <f t="shared" si="505"/>
        <v xml:space="preserve">   0.000</v>
      </c>
      <c r="BE556" t="str">
        <f t="shared" si="505"/>
        <v xml:space="preserve">   0.000</v>
      </c>
      <c r="BF556" t="str">
        <f t="shared" si="505"/>
        <v xml:space="preserve">   0.000</v>
      </c>
      <c r="BG556" t="str">
        <f t="shared" si="505"/>
        <v xml:space="preserve">   0.000</v>
      </c>
      <c r="BH556" t="str">
        <f t="shared" si="499"/>
        <v>しない</v>
      </c>
      <c r="BI556" t="str">
        <f>""</f>
        <v/>
      </c>
      <c r="BJ556" t="str">
        <f t="shared" si="478"/>
        <v>MASTER01</v>
      </c>
      <c r="BK556" t="str">
        <f t="shared" si="502"/>
        <v>2022/01/27</v>
      </c>
      <c r="BL556" t="str">
        <f t="shared" si="473"/>
        <v>NE00</v>
      </c>
      <c r="BM556" t="str">
        <f t="shared" si="474"/>
        <v>１工工務Ｇ</v>
      </c>
      <c r="BN556" t="str">
        <f t="shared" si="503"/>
        <v>39091</v>
      </c>
      <c r="BO556" t="str">
        <f t="shared" si="504"/>
        <v>佐竹　良太</v>
      </c>
    </row>
    <row r="557" spans="1:67">
      <c r="A557" t="s">
        <v>620</v>
      </c>
      <c r="B557" t="str">
        <f>""</f>
        <v/>
      </c>
      <c r="C557" t="str">
        <f>""</f>
        <v/>
      </c>
      <c r="D557" t="s">
        <v>109</v>
      </c>
      <c r="E557" t="str">
        <f t="shared" si="462"/>
        <v>1Y</v>
      </c>
      <c r="F557" t="str">
        <f t="shared" si="463"/>
        <v>第１工場</v>
      </c>
      <c r="G557" t="str">
        <f t="shared" si="475"/>
        <v>直送</v>
      </c>
      <c r="H557" t="str">
        <f t="shared" si="465"/>
        <v>Ｐ</v>
      </c>
      <c r="I557" t="str">
        <f>"3604"</f>
        <v>3604</v>
      </c>
      <c r="J557" t="str">
        <f>"ＴＤＫ（株）"</f>
        <v>ＴＤＫ（株）</v>
      </c>
      <c r="K557" t="str">
        <f>"01"</f>
        <v>01</v>
      </c>
      <c r="L557" t="str">
        <f>""</f>
        <v/>
      </c>
      <c r="M557" t="str">
        <f t="shared" si="500"/>
        <v>――</v>
      </c>
      <c r="N557" t="str">
        <f t="shared" si="500"/>
        <v>――</v>
      </c>
      <c r="O557" t="str">
        <f t="shared" si="476"/>
        <v>Ｐ</v>
      </c>
      <c r="P557" t="str">
        <f>"7002"</f>
        <v>7002</v>
      </c>
      <c r="Q557" t="str">
        <f>"矢崎総業（株）"</f>
        <v>矢崎総業（株）</v>
      </c>
      <c r="R557" t="str">
        <f>"01"</f>
        <v>01</v>
      </c>
      <c r="S557" t="str">
        <f>""</f>
        <v/>
      </c>
      <c r="T557" t="str">
        <f t="shared" si="471"/>
        <v>直接</v>
      </c>
      <c r="U557" t="str">
        <f>""</f>
        <v/>
      </c>
      <c r="V557" t="str">
        <f>""</f>
        <v/>
      </c>
      <c r="W557" t="str">
        <f>""</f>
        <v/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0.5</v>
      </c>
      <c r="AD557">
        <v>1</v>
      </c>
      <c r="AE557">
        <v>1</v>
      </c>
      <c r="AF557">
        <v>0.5</v>
      </c>
      <c r="AG557" t="str">
        <f>"814"</f>
        <v>814</v>
      </c>
      <c r="AH557" t="str">
        <f>"ＴＤＫ（株）"</f>
        <v>ＴＤＫ（株）</v>
      </c>
      <c r="AI557" t="str">
        <f>"001"</f>
        <v>001</v>
      </c>
      <c r="AJ557" t="str">
        <f t="shared" si="480"/>
        <v>CHOKUSOU</v>
      </c>
      <c r="AK557" t="str">
        <f>""</f>
        <v/>
      </c>
      <c r="AL557" t="str">
        <f>"3303"</f>
        <v>3303</v>
      </c>
      <c r="AM557" t="str">
        <f>"ｾﾝｻ- ﾕｵﾝ"</f>
        <v>ｾﾝｻ- ﾕｵﾝ</v>
      </c>
      <c r="AN557" t="str">
        <f>"011"</f>
        <v>011</v>
      </c>
      <c r="AO557" t="str">
        <f>"ﾀﾞﾝﾎﾞ-ﾙ ﾊﾞｺ"</f>
        <v>ﾀﾞﾝﾎﾞ-ﾙ ﾊﾞｺ</v>
      </c>
      <c r="AP557">
        <v>700</v>
      </c>
      <c r="AQ557" t="str">
        <f>""</f>
        <v/>
      </c>
      <c r="AR557" t="str">
        <f>""</f>
        <v/>
      </c>
      <c r="AS557" t="str">
        <f>""</f>
        <v/>
      </c>
      <c r="AT557" t="str">
        <f t="shared" si="461"/>
        <v>00</v>
      </c>
      <c r="AU557">
        <v>1.1000000000000001</v>
      </c>
      <c r="AV557" t="str">
        <f>""</f>
        <v/>
      </c>
      <c r="AW557" t="str">
        <f>""</f>
        <v/>
      </c>
      <c r="AX557" t="str">
        <f>""</f>
        <v/>
      </c>
      <c r="AY557" t="str">
        <f>""</f>
        <v/>
      </c>
      <c r="AZ557" t="str">
        <f>""</f>
        <v/>
      </c>
      <c r="BA557" t="str">
        <f>""</f>
        <v/>
      </c>
      <c r="BB557" t="str">
        <f>""</f>
        <v/>
      </c>
      <c r="BC557" t="str">
        <f t="shared" si="505"/>
        <v xml:space="preserve">   0.000</v>
      </c>
      <c r="BD557" t="str">
        <f t="shared" si="505"/>
        <v xml:space="preserve">   0.000</v>
      </c>
      <c r="BE557" t="str">
        <f t="shared" si="505"/>
        <v xml:space="preserve">   0.000</v>
      </c>
      <c r="BF557" t="str">
        <f t="shared" si="505"/>
        <v xml:space="preserve">   0.000</v>
      </c>
      <c r="BG557" t="str">
        <f t="shared" si="505"/>
        <v xml:space="preserve">   0.000</v>
      </c>
      <c r="BH557" t="str">
        <f t="shared" si="499"/>
        <v>しない</v>
      </c>
      <c r="BI557" t="str">
        <f>""</f>
        <v/>
      </c>
      <c r="BJ557" t="str">
        <f>"20230401"</f>
        <v>20230401</v>
      </c>
      <c r="BK557" t="str">
        <f>"2023/01/18"</f>
        <v>2023/01/18</v>
      </c>
      <c r="BL557" t="str">
        <f t="shared" si="473"/>
        <v>NE00</v>
      </c>
      <c r="BM557" t="str">
        <f t="shared" si="474"/>
        <v>１工工務Ｇ</v>
      </c>
      <c r="BN557" t="str">
        <f>"42678"</f>
        <v>42678</v>
      </c>
      <c r="BO557" t="str">
        <f>"藤井　織花"</f>
        <v>藤井　織花</v>
      </c>
    </row>
  </sheetData>
  <phoneticPr fontId="18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XR10_手配運用情報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 Yuta／田中　優太／AI</dc:creator>
  <cp:lastModifiedBy>sasaoka</cp:lastModifiedBy>
  <dcterms:created xsi:type="dcterms:W3CDTF">2023-04-04T07:09:04Z</dcterms:created>
  <dcterms:modified xsi:type="dcterms:W3CDTF">2023-09-16T08:23:41Z</dcterms:modified>
</cp:coreProperties>
</file>