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p3001\OneDrive\Рабочий стол\Автоматизация\РН приборов\Образцы\"/>
    </mc:Choice>
  </mc:AlternateContent>
  <xr:revisionPtr revIDLastSave="0" documentId="13_ncr:1_{E4CD3308-50A4-4C1F-95FB-917D65D60E7B}" xr6:coauthVersionLast="47" xr6:coauthVersionMax="47" xr10:uidLastSave="{00000000-0000-0000-0000-000000000000}"/>
  <bookViews>
    <workbookView xWindow="-110" yWindow="-110" windowWidth="25420" windowHeight="16300" tabRatio="626" activeTab="2" xr2:uid="{00000000-000D-0000-FFFF-FFFF00000000}"/>
  </bookViews>
  <sheets>
    <sheet name="ТУМ-C10" sheetId="13" r:id="rId1"/>
    <sheet name="Аттенюатор" sheetId="16" r:id="rId2"/>
    <sheet name="Усилитель 1" sheetId="17" r:id="rId3"/>
    <sheet name="Усилитель 2-3" sheetId="18" r:id="rId4"/>
    <sheet name="Усилитель 4" sheetId="19" r:id="rId5"/>
    <sheet name="Детектор" sheetId="14" r:id="rId6"/>
    <sheet name="АРМ" sheetId="15" r:id="rId7"/>
    <sheet name="Стабилизатор" sheetId="25" r:id="rId8"/>
    <sheet name="ТУМ-C10_Элементы корпуса" sheetId="2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17" l="1"/>
  <c r="H65" i="17"/>
  <c r="F39" i="17"/>
  <c r="E80" i="18" l="1"/>
  <c r="E79" i="18"/>
  <c r="I80" i="18"/>
  <c r="I79" i="18"/>
  <c r="I68" i="19"/>
  <c r="E68" i="19"/>
  <c r="G237" i="25"/>
  <c r="G235" i="25"/>
  <c r="G234" i="25"/>
  <c r="G229" i="25"/>
  <c r="G228" i="25"/>
  <c r="G215" i="25"/>
  <c r="G214" i="25"/>
  <c r="G213" i="25"/>
  <c r="G212" i="25"/>
  <c r="G208" i="25"/>
  <c r="G241" i="25"/>
  <c r="G201" i="25"/>
  <c r="H65" i="25"/>
  <c r="G82" i="17"/>
  <c r="G77" i="17"/>
  <c r="H146" i="25"/>
  <c r="H58" i="14"/>
  <c r="H55" i="15"/>
  <c r="H112" i="25"/>
  <c r="G112" i="25" s="1"/>
  <c r="F125" i="14" l="1"/>
  <c r="H120" i="14"/>
  <c r="E36" i="28"/>
  <c r="E35" i="28"/>
  <c r="L30" i="28"/>
  <c r="D36" i="28" l="1"/>
  <c r="D35" i="28"/>
  <c r="H23" i="28"/>
  <c r="D38" i="28" l="1"/>
  <c r="I338" i="25"/>
  <c r="H342" i="25" s="1"/>
  <c r="G342" i="25" s="1"/>
  <c r="F342" i="25" s="1"/>
  <c r="F344" i="25" s="1"/>
  <c r="J357" i="25" l="1"/>
  <c r="G357" i="25"/>
  <c r="H328" i="25"/>
  <c r="I324" i="25"/>
  <c r="H330" i="25"/>
  <c r="G330" i="25" s="1"/>
  <c r="F330" i="25" s="1"/>
  <c r="H329" i="25"/>
  <c r="G329" i="25" s="1"/>
  <c r="F329" i="25" s="1"/>
  <c r="H316" i="25"/>
  <c r="G316" i="25" s="1"/>
  <c r="F316" i="25" s="1"/>
  <c r="G146" i="25"/>
  <c r="G149" i="25" s="1"/>
  <c r="H309" i="25"/>
  <c r="G298" i="25"/>
  <c r="F162" i="25"/>
  <c r="E162" i="25" s="1"/>
  <c r="F161" i="25"/>
  <c r="E161" i="25" s="1"/>
  <c r="F160" i="25"/>
  <c r="E160" i="25" s="1"/>
  <c r="I156" i="25"/>
  <c r="I208" i="25"/>
  <c r="I207" i="25"/>
  <c r="I206" i="25"/>
  <c r="I205" i="25"/>
  <c r="I204" i="25"/>
  <c r="I202" i="25"/>
  <c r="I200" i="25"/>
  <c r="I199" i="25"/>
  <c r="M230" i="25"/>
  <c r="J230" i="25"/>
  <c r="G230" i="25"/>
  <c r="M224" i="25"/>
  <c r="J224" i="25"/>
  <c r="G224" i="25"/>
  <c r="M223" i="25"/>
  <c r="J223" i="25"/>
  <c r="G223" i="25"/>
  <c r="M209" i="25"/>
  <c r="J209" i="25"/>
  <c r="G209" i="25"/>
  <c r="M207" i="25"/>
  <c r="J207" i="25"/>
  <c r="G207" i="25"/>
  <c r="M206" i="25"/>
  <c r="J206" i="25"/>
  <c r="G206" i="25"/>
  <c r="M205" i="25"/>
  <c r="J205" i="25"/>
  <c r="G205" i="25"/>
  <c r="H68" i="25"/>
  <c r="H67" i="25"/>
  <c r="H66" i="25"/>
  <c r="I52" i="25"/>
  <c r="I51" i="25"/>
  <c r="I49" i="25"/>
  <c r="I48" i="25"/>
  <c r="I45" i="25"/>
  <c r="I44" i="25"/>
  <c r="I40" i="25"/>
  <c r="I39" i="25"/>
  <c r="I38" i="25"/>
  <c r="I37" i="25"/>
  <c r="I36" i="25"/>
  <c r="I35" i="25"/>
  <c r="I34" i="25"/>
  <c r="I33" i="25"/>
  <c r="I32" i="25"/>
  <c r="I30" i="25"/>
  <c r="I28" i="25"/>
  <c r="I27" i="25"/>
  <c r="I26" i="25"/>
  <c r="I25" i="25"/>
  <c r="F97" i="25"/>
  <c r="F96" i="25"/>
  <c r="F95" i="25"/>
  <c r="F94" i="25"/>
  <c r="F82" i="25"/>
  <c r="F81" i="25"/>
  <c r="E81" i="25" s="1"/>
  <c r="I50" i="25"/>
  <c r="G50" i="25"/>
  <c r="I42" i="25"/>
  <c r="G42" i="25"/>
  <c r="G41" i="25"/>
  <c r="F41" i="25" s="1"/>
  <c r="E41" i="25" s="1"/>
  <c r="G40" i="25"/>
  <c r="G39" i="25"/>
  <c r="G33" i="25"/>
  <c r="G32" i="25"/>
  <c r="I68" i="25"/>
  <c r="G68" i="25"/>
  <c r="I67" i="25"/>
  <c r="G67" i="25"/>
  <c r="I66" i="25"/>
  <c r="G66" i="25"/>
  <c r="I65" i="25"/>
  <c r="G65" i="25"/>
  <c r="I60" i="25"/>
  <c r="F357" i="25" l="1"/>
  <c r="E357" i="25" s="1"/>
  <c r="G309" i="25"/>
  <c r="F309" i="25" s="1"/>
  <c r="G328" i="25"/>
  <c r="F328" i="25" s="1"/>
  <c r="F332" i="25" s="1"/>
  <c r="F230" i="25"/>
  <c r="E230" i="25" s="1"/>
  <c r="E164" i="25"/>
  <c r="F224" i="25"/>
  <c r="E224" i="25" s="1"/>
  <c r="F205" i="25"/>
  <c r="E205" i="25" s="1"/>
  <c r="F223" i="25"/>
  <c r="E223" i="25" s="1"/>
  <c r="F206" i="25"/>
  <c r="E206" i="25" s="1"/>
  <c r="F207" i="25"/>
  <c r="E207" i="25" s="1"/>
  <c r="F32" i="25"/>
  <c r="E32" i="25" s="1"/>
  <c r="F50" i="25"/>
  <c r="E50" i="25" s="1"/>
  <c r="F209" i="25"/>
  <c r="E209" i="25" s="1"/>
  <c r="F39" i="25"/>
  <c r="E39" i="25" s="1"/>
  <c r="F65" i="25"/>
  <c r="E65" i="25" s="1"/>
  <c r="F66" i="25"/>
  <c r="E66" i="25" s="1"/>
  <c r="F67" i="25"/>
  <c r="E67" i="25" s="1"/>
  <c r="F33" i="25"/>
  <c r="E33" i="25" s="1"/>
  <c r="F40" i="25"/>
  <c r="E40" i="25" s="1"/>
  <c r="F42" i="25"/>
  <c r="E42" i="25" s="1"/>
  <c r="F68" i="25"/>
  <c r="E68" i="25" s="1"/>
  <c r="E70" i="25" l="1"/>
  <c r="I121" i="25"/>
  <c r="I132" i="25"/>
  <c r="K132" i="25"/>
  <c r="L132" i="25"/>
  <c r="I133" i="25"/>
  <c r="K133" i="25"/>
  <c r="L133" i="25"/>
  <c r="G55" i="15"/>
  <c r="G58" i="15" s="1"/>
  <c r="I28" i="15"/>
  <c r="I27" i="15"/>
  <c r="I30" i="14"/>
  <c r="I29" i="14"/>
  <c r="I28" i="14"/>
  <c r="I42" i="15"/>
  <c r="H42" i="15"/>
  <c r="G42" i="15"/>
  <c r="F42" i="15" l="1"/>
  <c r="E42" i="15" s="1"/>
  <c r="H132" i="25"/>
  <c r="G132" i="25" s="1"/>
  <c r="H133" i="25"/>
  <c r="G133" i="25" s="1"/>
  <c r="M112" i="14"/>
  <c r="J112" i="14"/>
  <c r="G112" i="14"/>
  <c r="F112" i="14" s="1"/>
  <c r="E112" i="14" s="1"/>
  <c r="M111" i="14"/>
  <c r="J111" i="14"/>
  <c r="G111" i="14"/>
  <c r="M110" i="14"/>
  <c r="J110" i="14"/>
  <c r="G110" i="14"/>
  <c r="M109" i="14"/>
  <c r="J109" i="14"/>
  <c r="G109" i="14"/>
  <c r="M108" i="14"/>
  <c r="J108" i="14"/>
  <c r="G108" i="14"/>
  <c r="M107" i="14"/>
  <c r="J107" i="14"/>
  <c r="G107" i="14"/>
  <c r="F107" i="14"/>
  <c r="E107" i="14" s="1"/>
  <c r="M106" i="14"/>
  <c r="J106" i="14"/>
  <c r="G106" i="14"/>
  <c r="M105" i="14"/>
  <c r="J105" i="14"/>
  <c r="G105" i="14"/>
  <c r="F105" i="14" s="1"/>
  <c r="E105" i="14" s="1"/>
  <c r="M104" i="14"/>
  <c r="J104" i="14"/>
  <c r="G104" i="14"/>
  <c r="M103" i="14"/>
  <c r="J103" i="14"/>
  <c r="G103" i="14"/>
  <c r="M102" i="14"/>
  <c r="J102" i="14"/>
  <c r="G102" i="14"/>
  <c r="F102" i="14"/>
  <c r="E102" i="14" s="1"/>
  <c r="G67" i="14"/>
  <c r="G74" i="14" s="1"/>
  <c r="H44" i="14"/>
  <c r="I27" i="14"/>
  <c r="I25" i="14"/>
  <c r="I26" i="14"/>
  <c r="I24" i="14"/>
  <c r="G30" i="14"/>
  <c r="F30" i="14" s="1"/>
  <c r="E30" i="14" s="1"/>
  <c r="G29" i="14"/>
  <c r="G28" i="14"/>
  <c r="I44" i="14"/>
  <c r="G44" i="14"/>
  <c r="I39" i="14"/>
  <c r="F106" i="14" l="1"/>
  <c r="E106" i="14" s="1"/>
  <c r="F103" i="14"/>
  <c r="E103" i="14" s="1"/>
  <c r="F104" i="14"/>
  <c r="E104" i="14" s="1"/>
  <c r="F110" i="14"/>
  <c r="E110" i="14" s="1"/>
  <c r="F44" i="14"/>
  <c r="E44" i="14" s="1"/>
  <c r="E46" i="14" s="1"/>
  <c r="F109" i="14"/>
  <c r="E109" i="14" s="1"/>
  <c r="F108" i="14"/>
  <c r="E108" i="14" s="1"/>
  <c r="F111" i="14"/>
  <c r="E111" i="14" s="1"/>
  <c r="G135" i="25"/>
  <c r="F74" i="14"/>
  <c r="E74" i="14" s="1"/>
  <c r="E76" i="14" s="1"/>
  <c r="G58" i="14"/>
  <c r="G61" i="14" s="1"/>
  <c r="F29" i="14"/>
  <c r="E29" i="14" s="1"/>
  <c r="F28" i="14"/>
  <c r="E28" i="14" s="1"/>
  <c r="I30" i="19"/>
  <c r="I22" i="19"/>
  <c r="I29" i="19"/>
  <c r="I28" i="19"/>
  <c r="I23" i="19"/>
  <c r="I27" i="19"/>
  <c r="I26" i="19"/>
  <c r="G29" i="19"/>
  <c r="G28" i="19"/>
  <c r="G24" i="19"/>
  <c r="G23" i="19"/>
  <c r="I13" i="19"/>
  <c r="I12" i="19"/>
  <c r="G64" i="18"/>
  <c r="J64" i="18"/>
  <c r="M64" i="18"/>
  <c r="G65" i="18"/>
  <c r="J65" i="18"/>
  <c r="M65" i="18"/>
  <c r="I34" i="18"/>
  <c r="I27" i="18"/>
  <c r="I33" i="18"/>
  <c r="I26" i="18"/>
  <c r="G36" i="18"/>
  <c r="G35" i="18"/>
  <c r="G32" i="18"/>
  <c r="G31" i="18"/>
  <c r="G29" i="18"/>
  <c r="G28" i="18"/>
  <c r="G25" i="18"/>
  <c r="G24" i="18"/>
  <c r="I36" i="18"/>
  <c r="I35" i="18"/>
  <c r="I32" i="18"/>
  <c r="I31" i="18"/>
  <c r="I29" i="18"/>
  <c r="I28" i="18"/>
  <c r="I25" i="18"/>
  <c r="I24" i="18"/>
  <c r="I37" i="18"/>
  <c r="I30" i="18"/>
  <c r="I23" i="18"/>
  <c r="I13" i="18"/>
  <c r="I14" i="18"/>
  <c r="I25" i="17"/>
  <c r="I24" i="17"/>
  <c r="I26" i="17"/>
  <c r="I28" i="17"/>
  <c r="I27" i="17"/>
  <c r="I23" i="17"/>
  <c r="F17" i="16"/>
  <c r="E17" i="16" s="1"/>
  <c r="E28" i="16" s="1"/>
  <c r="C13" i="13" s="1"/>
  <c r="H13" i="16"/>
  <c r="D13" i="13" l="1"/>
  <c r="F64" i="18"/>
  <c r="E64" i="18" s="1"/>
  <c r="F65" i="18"/>
  <c r="E65" i="18" s="1"/>
  <c r="H286" i="25" l="1"/>
  <c r="G286" i="25" s="1"/>
  <c r="F286" i="25" s="1"/>
  <c r="H315" i="25"/>
  <c r="G315" i="25" s="1"/>
  <c r="F315" i="25" s="1"/>
  <c r="H312" i="25"/>
  <c r="G312" i="25" s="1"/>
  <c r="F312" i="25" s="1"/>
  <c r="J356" i="25"/>
  <c r="G356" i="25"/>
  <c r="J202" i="25"/>
  <c r="J201" i="25"/>
  <c r="J200" i="25"/>
  <c r="G200" i="25"/>
  <c r="G199" i="25"/>
  <c r="M241" i="25"/>
  <c r="M201" i="25"/>
  <c r="M200" i="25"/>
  <c r="M199" i="25"/>
  <c r="H113" i="25"/>
  <c r="G113" i="25" s="1"/>
  <c r="I90" i="25"/>
  <c r="G52" i="25"/>
  <c r="G51" i="25"/>
  <c r="H110" i="15"/>
  <c r="G110" i="15" s="1"/>
  <c r="F110" i="15" s="1"/>
  <c r="M89" i="15"/>
  <c r="J89" i="15"/>
  <c r="G89" i="15"/>
  <c r="M88" i="15"/>
  <c r="J88" i="15"/>
  <c r="G88" i="15"/>
  <c r="G86" i="15"/>
  <c r="J86" i="15"/>
  <c r="M86" i="15"/>
  <c r="G87" i="15"/>
  <c r="J87" i="15"/>
  <c r="M87" i="15"/>
  <c r="M84" i="15"/>
  <c r="J84" i="15"/>
  <c r="G84" i="15"/>
  <c r="M83" i="15"/>
  <c r="J83" i="15"/>
  <c r="G83" i="15"/>
  <c r="M81" i="15"/>
  <c r="J81" i="15"/>
  <c r="G81" i="15"/>
  <c r="M77" i="15"/>
  <c r="J77" i="15"/>
  <c r="G77" i="15"/>
  <c r="I29" i="15"/>
  <c r="G29" i="15"/>
  <c r="G28" i="15"/>
  <c r="G27" i="15"/>
  <c r="I26" i="15"/>
  <c r="G26" i="15"/>
  <c r="I25" i="15"/>
  <c r="G25" i="15"/>
  <c r="I24" i="15"/>
  <c r="G24" i="15"/>
  <c r="G27" i="14"/>
  <c r="G26" i="14"/>
  <c r="G25" i="14"/>
  <c r="G24" i="14"/>
  <c r="M51" i="19"/>
  <c r="J51" i="19"/>
  <c r="G51" i="19"/>
  <c r="M50" i="19"/>
  <c r="J50" i="19"/>
  <c r="G50" i="19"/>
  <c r="G30" i="19"/>
  <c r="F28" i="19"/>
  <c r="E28" i="19" s="1"/>
  <c r="G27" i="19"/>
  <c r="G26" i="19"/>
  <c r="F24" i="19"/>
  <c r="E24" i="19" s="1"/>
  <c r="F23" i="19"/>
  <c r="E23" i="19" s="1"/>
  <c r="G25" i="19"/>
  <c r="G22" i="19"/>
  <c r="F22" i="19" s="1"/>
  <c r="E22" i="19" s="1"/>
  <c r="H38" i="19"/>
  <c r="F31" i="18"/>
  <c r="E31" i="18" s="1"/>
  <c r="G37" i="18"/>
  <c r="F37" i="18" s="1"/>
  <c r="E37" i="18" s="1"/>
  <c r="F29" i="18"/>
  <c r="E29" i="18" s="1"/>
  <c r="F36" i="18"/>
  <c r="E36" i="18" s="1"/>
  <c r="F28" i="18"/>
  <c r="E28" i="18" s="1"/>
  <c r="G34" i="18"/>
  <c r="G26" i="18"/>
  <c r="G33" i="18"/>
  <c r="F24" i="18"/>
  <c r="E24" i="18" s="1"/>
  <c r="G30" i="18"/>
  <c r="F30" i="18" s="1"/>
  <c r="E30" i="18" s="1"/>
  <c r="G27" i="18"/>
  <c r="F27" i="18" s="1"/>
  <c r="E27" i="18" s="1"/>
  <c r="G23" i="18"/>
  <c r="F51" i="25" l="1"/>
  <c r="E51" i="25" s="1"/>
  <c r="F81" i="15"/>
  <c r="E81" i="15" s="1"/>
  <c r="F25" i="15"/>
  <c r="E25" i="15" s="1"/>
  <c r="F29" i="15"/>
  <c r="E29" i="15" s="1"/>
  <c r="F27" i="14"/>
  <c r="E27" i="14" s="1"/>
  <c r="F26" i="19"/>
  <c r="E26" i="19" s="1"/>
  <c r="F25" i="19"/>
  <c r="E25" i="19" s="1"/>
  <c r="F23" i="18"/>
  <c r="E23" i="18" s="1"/>
  <c r="F35" i="18"/>
  <c r="E35" i="18" s="1"/>
  <c r="F27" i="19"/>
  <c r="E27" i="19" s="1"/>
  <c r="F26" i="14"/>
  <c r="E26" i="14" s="1"/>
  <c r="F32" i="18"/>
  <c r="E32" i="18" s="1"/>
  <c r="F25" i="18"/>
  <c r="E25" i="18" s="1"/>
  <c r="F26" i="18"/>
  <c r="E26" i="18" s="1"/>
  <c r="F27" i="15"/>
  <c r="E27" i="15" s="1"/>
  <c r="F24" i="14"/>
  <c r="E24" i="14" s="1"/>
  <c r="F33" i="18"/>
  <c r="E33" i="18" s="1"/>
  <c r="F34" i="18"/>
  <c r="E34" i="18" s="1"/>
  <c r="F356" i="25"/>
  <c r="E356" i="25" s="1"/>
  <c r="F52" i="25"/>
  <c r="E52" i="25" s="1"/>
  <c r="F84" i="15"/>
  <c r="E84" i="15" s="1"/>
  <c r="F86" i="15"/>
  <c r="E86" i="15" s="1"/>
  <c r="F89" i="15"/>
  <c r="E89" i="15" s="1"/>
  <c r="F77" i="15"/>
  <c r="E77" i="15" s="1"/>
  <c r="F83" i="15"/>
  <c r="E83" i="15" s="1"/>
  <c r="F87" i="15"/>
  <c r="E87" i="15" s="1"/>
  <c r="F88" i="15"/>
  <c r="E88" i="15" s="1"/>
  <c r="F24" i="15"/>
  <c r="E24" i="15" s="1"/>
  <c r="F26" i="15"/>
  <c r="E26" i="15" s="1"/>
  <c r="F28" i="15"/>
  <c r="E28" i="15" s="1"/>
  <c r="F25" i="14"/>
  <c r="E25" i="14" s="1"/>
  <c r="F29" i="19"/>
  <c r="E29" i="19" s="1"/>
  <c r="F50" i="19"/>
  <c r="E50" i="19" s="1"/>
  <c r="F51" i="19"/>
  <c r="E51" i="19" s="1"/>
  <c r="F30" i="19"/>
  <c r="E30" i="19" s="1"/>
  <c r="H311" i="25"/>
  <c r="G311" i="25" s="1"/>
  <c r="F311" i="25" s="1"/>
  <c r="J358" i="25"/>
  <c r="G358" i="25"/>
  <c r="J355" i="25"/>
  <c r="G355" i="25"/>
  <c r="I351" i="25"/>
  <c r="H314" i="25"/>
  <c r="G314" i="25" s="1"/>
  <c r="F314" i="25" s="1"/>
  <c r="H313" i="25"/>
  <c r="G313" i="25" s="1"/>
  <c r="F313" i="25" s="1"/>
  <c r="H310" i="25"/>
  <c r="G310" i="25" s="1"/>
  <c r="I305" i="25"/>
  <c r="F298" i="25"/>
  <c r="I294" i="25"/>
  <c r="H285" i="25"/>
  <c r="G285" i="25" s="1"/>
  <c r="F285" i="25" s="1"/>
  <c r="F288" i="25" s="1"/>
  <c r="H273" i="25"/>
  <c r="I259" i="25"/>
  <c r="G259" i="25"/>
  <c r="I261" i="25"/>
  <c r="G261" i="25"/>
  <c r="I262" i="25"/>
  <c r="G262" i="25"/>
  <c r="I260" i="25"/>
  <c r="G260" i="25"/>
  <c r="I250" i="25"/>
  <c r="M237" i="25"/>
  <c r="J237" i="25"/>
  <c r="M242" i="25"/>
  <c r="J242" i="25"/>
  <c r="G242" i="25"/>
  <c r="J241" i="25"/>
  <c r="M240" i="25"/>
  <c r="J240" i="25"/>
  <c r="G240" i="25"/>
  <c r="M239" i="25"/>
  <c r="J239" i="25"/>
  <c r="G239" i="25"/>
  <c r="M238" i="25"/>
  <c r="J238" i="25"/>
  <c r="G238" i="25"/>
  <c r="M236" i="25"/>
  <c r="G236" i="25"/>
  <c r="M235" i="25"/>
  <c r="J235" i="25"/>
  <c r="M234" i="25"/>
  <c r="J234" i="25"/>
  <c r="M233" i="25"/>
  <c r="J233" i="25"/>
  <c r="G233" i="25"/>
  <c r="M232" i="25"/>
  <c r="J232" i="25"/>
  <c r="G232" i="25"/>
  <c r="M231" i="25"/>
  <c r="J231" i="25"/>
  <c r="G231" i="25"/>
  <c r="M229" i="25"/>
  <c r="J229" i="25"/>
  <c r="M228" i="25"/>
  <c r="J228" i="25"/>
  <c r="M227" i="25"/>
  <c r="J227" i="25"/>
  <c r="G227" i="25"/>
  <c r="M226" i="25"/>
  <c r="J226" i="25"/>
  <c r="G226" i="25"/>
  <c r="M225" i="25"/>
  <c r="J225" i="25"/>
  <c r="G225" i="25"/>
  <c r="M222" i="25"/>
  <c r="J222" i="25"/>
  <c r="G222" i="25"/>
  <c r="M221" i="25"/>
  <c r="J221" i="25"/>
  <c r="G221" i="25"/>
  <c r="M220" i="25"/>
  <c r="J220" i="25"/>
  <c r="G220" i="25"/>
  <c r="M219" i="25"/>
  <c r="J219" i="25"/>
  <c r="G219" i="25"/>
  <c r="M218" i="25"/>
  <c r="J218" i="25"/>
  <c r="G218" i="25"/>
  <c r="H188" i="25"/>
  <c r="M217" i="25"/>
  <c r="J217" i="25"/>
  <c r="G217" i="25"/>
  <c r="M216" i="25"/>
  <c r="J216" i="25"/>
  <c r="G216" i="25"/>
  <c r="M215" i="25"/>
  <c r="J215" i="25"/>
  <c r="M214" i="25"/>
  <c r="J214" i="25"/>
  <c r="M213" i="25"/>
  <c r="J213" i="25"/>
  <c r="M212" i="25"/>
  <c r="J212" i="25"/>
  <c r="M211" i="25"/>
  <c r="J211" i="25"/>
  <c r="G211" i="25"/>
  <c r="M210" i="25"/>
  <c r="J210" i="25"/>
  <c r="G210" i="25"/>
  <c r="M208" i="25"/>
  <c r="J208" i="25"/>
  <c r="M204" i="25"/>
  <c r="J204" i="25"/>
  <c r="G204" i="25"/>
  <c r="M203" i="25"/>
  <c r="J203" i="25"/>
  <c r="G203" i="25"/>
  <c r="M202" i="25"/>
  <c r="G202" i="25"/>
  <c r="J199" i="25"/>
  <c r="H187" i="25"/>
  <c r="I178" i="25"/>
  <c r="G178" i="25"/>
  <c r="I169" i="25"/>
  <c r="G115" i="25"/>
  <c r="E59" i="19" l="1"/>
  <c r="E32" i="14"/>
  <c r="E32" i="19"/>
  <c r="E39" i="18"/>
  <c r="F300" i="25"/>
  <c r="F221" i="25"/>
  <c r="E221" i="25" s="1"/>
  <c r="F310" i="25"/>
  <c r="F318" i="25" s="1"/>
  <c r="F239" i="25"/>
  <c r="E239" i="25" s="1"/>
  <c r="F261" i="25"/>
  <c r="E261" i="25" s="1"/>
  <c r="F259" i="25"/>
  <c r="E259" i="25" s="1"/>
  <c r="F355" i="25"/>
  <c r="E355" i="25" s="1"/>
  <c r="F237" i="25"/>
  <c r="E237" i="25" s="1"/>
  <c r="F229" i="25"/>
  <c r="E229" i="25" s="1"/>
  <c r="F358" i="25"/>
  <c r="E358" i="25" s="1"/>
  <c r="F260" i="25"/>
  <c r="E260" i="25" s="1"/>
  <c r="F227" i="25"/>
  <c r="E227" i="25" s="1"/>
  <c r="F226" i="25"/>
  <c r="E226" i="25" s="1"/>
  <c r="F236" i="25"/>
  <c r="E236" i="25" s="1"/>
  <c r="F218" i="25"/>
  <c r="E218" i="25" s="1"/>
  <c r="F234" i="25"/>
  <c r="E234" i="25" s="1"/>
  <c r="F242" i="25"/>
  <c r="E242" i="25" s="1"/>
  <c r="F232" i="25"/>
  <c r="E232" i="25" s="1"/>
  <c r="F228" i="25"/>
  <c r="E228" i="25" s="1"/>
  <c r="F262" i="25"/>
  <c r="E262" i="25" s="1"/>
  <c r="F222" i="25"/>
  <c r="E222" i="25" s="1"/>
  <c r="F235" i="25"/>
  <c r="E235" i="25" s="1"/>
  <c r="F241" i="25"/>
  <c r="E241" i="25" s="1"/>
  <c r="F231" i="25"/>
  <c r="E231" i="25" s="1"/>
  <c r="F233" i="25"/>
  <c r="E233" i="25" s="1"/>
  <c r="F219" i="25"/>
  <c r="E219" i="25" s="1"/>
  <c r="F225" i="25"/>
  <c r="E225" i="25" s="1"/>
  <c r="F238" i="25"/>
  <c r="E238" i="25" s="1"/>
  <c r="F240" i="25"/>
  <c r="E240" i="25" s="1"/>
  <c r="F220" i="25"/>
  <c r="E220" i="25" s="1"/>
  <c r="F201" i="25"/>
  <c r="E201" i="25" s="1"/>
  <c r="F217" i="25"/>
  <c r="E217" i="25" s="1"/>
  <c r="F204" i="25"/>
  <c r="E204" i="25" s="1"/>
  <c r="F216" i="25"/>
  <c r="E216" i="25" s="1"/>
  <c r="F202" i="25"/>
  <c r="E202" i="25" s="1"/>
  <c r="F199" i="25"/>
  <c r="E199" i="25" s="1"/>
  <c r="F214" i="25"/>
  <c r="E214" i="25" s="1"/>
  <c r="F208" i="25"/>
  <c r="E208" i="25" s="1"/>
  <c r="F178" i="25"/>
  <c r="E178" i="25" s="1"/>
  <c r="E180" i="25" s="1"/>
  <c r="F210" i="25"/>
  <c r="E210" i="25" s="1"/>
  <c r="F200" i="25"/>
  <c r="E200" i="25" s="1"/>
  <c r="F211" i="25"/>
  <c r="E211" i="25" s="1"/>
  <c r="F212" i="25"/>
  <c r="E212" i="25" s="1"/>
  <c r="F215" i="25"/>
  <c r="E215" i="25" s="1"/>
  <c r="F203" i="25"/>
  <c r="E203" i="25" s="1"/>
  <c r="F213" i="25"/>
  <c r="E213" i="25" s="1"/>
  <c r="E264" i="25" l="1"/>
  <c r="E244" i="25"/>
  <c r="E360" i="25"/>
  <c r="E97" i="25" l="1"/>
  <c r="E96" i="25"/>
  <c r="E94" i="25"/>
  <c r="E95" i="25"/>
  <c r="I77" i="25"/>
  <c r="G49" i="25"/>
  <c r="G48" i="25"/>
  <c r="G47" i="25"/>
  <c r="G46" i="25"/>
  <c r="G45" i="25"/>
  <c r="G44" i="25"/>
  <c r="G43" i="25"/>
  <c r="G38" i="25"/>
  <c r="G37" i="25"/>
  <c r="G36" i="25"/>
  <c r="G35" i="25"/>
  <c r="G34" i="25"/>
  <c r="F34" i="25" s="1"/>
  <c r="G31" i="25"/>
  <c r="G30" i="25"/>
  <c r="F30" i="25" s="1"/>
  <c r="E30" i="25" s="1"/>
  <c r="G29" i="25"/>
  <c r="G28" i="25"/>
  <c r="G27" i="25"/>
  <c r="G26" i="25"/>
  <c r="G25" i="25"/>
  <c r="I15" i="25"/>
  <c r="I23" i="28"/>
  <c r="G23" i="28"/>
  <c r="F23" i="28" s="1"/>
  <c r="E23" i="28" s="1"/>
  <c r="E25" i="28" s="1"/>
  <c r="D42" i="28" s="1"/>
  <c r="C20" i="13" s="1"/>
  <c r="D20" i="13" s="1"/>
  <c r="I13" i="28"/>
  <c r="H109" i="15"/>
  <c r="G109" i="15" s="1"/>
  <c r="I98" i="15"/>
  <c r="M85" i="15"/>
  <c r="J85" i="15"/>
  <c r="G85" i="15"/>
  <c r="M82" i="15"/>
  <c r="J82" i="15"/>
  <c r="G82" i="15"/>
  <c r="M80" i="15"/>
  <c r="J80" i="15"/>
  <c r="G80" i="15"/>
  <c r="M79" i="15"/>
  <c r="J79" i="15"/>
  <c r="G79" i="15"/>
  <c r="M78" i="15"/>
  <c r="J78" i="15"/>
  <c r="G78" i="15"/>
  <c r="H65" i="15"/>
  <c r="I37" i="15"/>
  <c r="G30" i="15"/>
  <c r="I14" i="15"/>
  <c r="E125" i="14"/>
  <c r="E127" i="14" s="1"/>
  <c r="M101" i="14"/>
  <c r="J101" i="14"/>
  <c r="G101" i="14"/>
  <c r="M100" i="14"/>
  <c r="J100" i="14"/>
  <c r="G100" i="14"/>
  <c r="M99" i="14"/>
  <c r="J99" i="14"/>
  <c r="G99" i="14"/>
  <c r="M98" i="14"/>
  <c r="J98" i="14"/>
  <c r="G98" i="14"/>
  <c r="M97" i="14"/>
  <c r="J97" i="14"/>
  <c r="G97" i="14"/>
  <c r="M96" i="14"/>
  <c r="J96" i="14"/>
  <c r="G96" i="14"/>
  <c r="M95" i="14"/>
  <c r="J95" i="14"/>
  <c r="G95" i="14"/>
  <c r="M94" i="14"/>
  <c r="J94" i="14"/>
  <c r="G94" i="14"/>
  <c r="H82" i="14"/>
  <c r="I14" i="14"/>
  <c r="D68" i="19"/>
  <c r="D70" i="19" s="1"/>
  <c r="D80" i="18"/>
  <c r="H46" i="18"/>
  <c r="M58" i="18"/>
  <c r="J58" i="18"/>
  <c r="G58" i="18"/>
  <c r="M57" i="18"/>
  <c r="J57" i="18"/>
  <c r="G57" i="18"/>
  <c r="H45" i="18"/>
  <c r="M80" i="17"/>
  <c r="G83" i="17"/>
  <c r="G81" i="17"/>
  <c r="G80" i="17"/>
  <c r="G79" i="17"/>
  <c r="G78" i="17"/>
  <c r="M83" i="17"/>
  <c r="J83" i="17"/>
  <c r="M82" i="17"/>
  <c r="J82" i="17"/>
  <c r="M81" i="17"/>
  <c r="J81" i="17"/>
  <c r="J80" i="17"/>
  <c r="M79" i="17"/>
  <c r="J79" i="17"/>
  <c r="M78" i="17"/>
  <c r="J78" i="17"/>
  <c r="M77" i="17"/>
  <c r="J77" i="17"/>
  <c r="G50" i="17"/>
  <c r="G57" i="17" s="1"/>
  <c r="G28" i="17"/>
  <c r="G27" i="17"/>
  <c r="G26" i="17"/>
  <c r="G25" i="17"/>
  <c r="G24" i="17"/>
  <c r="G23" i="17"/>
  <c r="F23" i="17" s="1"/>
  <c r="I13" i="17"/>
  <c r="F81" i="17" l="1"/>
  <c r="E81" i="17" s="1"/>
  <c r="F57" i="17"/>
  <c r="E57" i="17" s="1"/>
  <c r="E59" i="17" s="1"/>
  <c r="E99" i="25"/>
  <c r="F47" i="25"/>
  <c r="E47" i="25" s="1"/>
  <c r="F85" i="15"/>
  <c r="E85" i="15" s="1"/>
  <c r="F82" i="15"/>
  <c r="E82" i="15" s="1"/>
  <c r="F109" i="15"/>
  <c r="F112" i="15" s="1"/>
  <c r="F79" i="17"/>
  <c r="E79" i="17" s="1"/>
  <c r="F83" i="17"/>
  <c r="E83" i="17" s="1"/>
  <c r="F80" i="17"/>
  <c r="E80" i="17" s="1"/>
  <c r="F77" i="17"/>
  <c r="F44" i="25"/>
  <c r="E44" i="25" s="1"/>
  <c r="F45" i="25"/>
  <c r="E45" i="25" s="1"/>
  <c r="F48" i="25"/>
  <c r="E48" i="25" s="1"/>
  <c r="F29" i="25"/>
  <c r="E29" i="25" s="1"/>
  <c r="F38" i="25"/>
  <c r="E38" i="25" s="1"/>
  <c r="F37" i="25"/>
  <c r="E37" i="25" s="1"/>
  <c r="F35" i="25"/>
  <c r="E35" i="25" s="1"/>
  <c r="F36" i="25"/>
  <c r="E36" i="25" s="1"/>
  <c r="F46" i="25"/>
  <c r="E46" i="25" s="1"/>
  <c r="F27" i="25"/>
  <c r="E27" i="25" s="1"/>
  <c r="F49" i="25"/>
  <c r="E49" i="25" s="1"/>
  <c r="F43" i="25"/>
  <c r="E43" i="25" s="1"/>
  <c r="F31" i="25"/>
  <c r="E31" i="25" s="1"/>
  <c r="E34" i="25"/>
  <c r="E82" i="25"/>
  <c r="E84" i="25" s="1"/>
  <c r="F25" i="25"/>
  <c r="E25" i="25" s="1"/>
  <c r="F28" i="25"/>
  <c r="E28" i="25" s="1"/>
  <c r="F26" i="25"/>
  <c r="E26" i="25" s="1"/>
  <c r="F80" i="15"/>
  <c r="E80" i="15" s="1"/>
  <c r="F78" i="15"/>
  <c r="E78" i="15" s="1"/>
  <c r="F79" i="15"/>
  <c r="E79" i="15" s="1"/>
  <c r="F30" i="15"/>
  <c r="E30" i="15" s="1"/>
  <c r="E32" i="15" s="1"/>
  <c r="F100" i="14"/>
  <c r="E100" i="14" s="1"/>
  <c r="F101" i="14"/>
  <c r="E101" i="14" s="1"/>
  <c r="F96" i="14"/>
  <c r="E96" i="14" s="1"/>
  <c r="F99" i="14"/>
  <c r="E99" i="14" s="1"/>
  <c r="F97" i="14"/>
  <c r="E97" i="14" s="1"/>
  <c r="F95" i="14"/>
  <c r="E95" i="14" s="1"/>
  <c r="F94" i="14"/>
  <c r="E94" i="14" s="1"/>
  <c r="F98" i="14"/>
  <c r="E98" i="14" s="1"/>
  <c r="F57" i="18"/>
  <c r="E57" i="18" s="1"/>
  <c r="F58" i="18"/>
  <c r="E58" i="18" s="1"/>
  <c r="F78" i="17"/>
  <c r="E78" i="17" s="1"/>
  <c r="F82" i="17"/>
  <c r="E82" i="17" s="1"/>
  <c r="F24" i="17"/>
  <c r="E24" i="17" s="1"/>
  <c r="F26" i="17"/>
  <c r="E26" i="17" s="1"/>
  <c r="F27" i="17"/>
  <c r="E27" i="17" s="1"/>
  <c r="H42" i="17"/>
  <c r="G42" i="17" s="1"/>
  <c r="G44" i="17" s="1"/>
  <c r="F28" i="17"/>
  <c r="E28" i="17" s="1"/>
  <c r="E23" i="17"/>
  <c r="F25" i="17"/>
  <c r="E25" i="17" s="1"/>
  <c r="E30" i="17" l="1"/>
  <c r="E114" i="14"/>
  <c r="E130" i="14" s="1"/>
  <c r="C18" i="13" s="1"/>
  <c r="D18" i="13" s="1"/>
  <c r="E54" i="25"/>
  <c r="F365" i="25" s="1"/>
  <c r="C19" i="13" s="1"/>
  <c r="D19" i="13" s="1"/>
  <c r="E70" i="18"/>
  <c r="E44" i="15"/>
  <c r="E91" i="15"/>
  <c r="E85" i="17"/>
  <c r="E88" i="17"/>
  <c r="C14" i="13" s="1"/>
  <c r="C10" i="13" s="1"/>
  <c r="D75" i="19"/>
  <c r="C16" i="13" s="1"/>
  <c r="D16" i="13" s="1"/>
  <c r="D14" i="13" l="1"/>
  <c r="F115" i="15"/>
  <c r="C17" i="13" s="1"/>
  <c r="D17" i="13" s="1"/>
  <c r="G217" i="13"/>
  <c r="F201" i="13"/>
  <c r="H197" i="13"/>
  <c r="F187" i="13"/>
  <c r="F186" i="13"/>
  <c r="F185" i="13"/>
  <c r="I91" i="13" l="1"/>
  <c r="I97" i="13"/>
  <c r="G97" i="13"/>
  <c r="G91" i="13"/>
  <c r="E186" i="13"/>
  <c r="I139" i="13"/>
  <c r="I140" i="13"/>
  <c r="H169" i="13"/>
  <c r="F174" i="13"/>
  <c r="E174" i="13" s="1"/>
  <c r="F173" i="13"/>
  <c r="H162" i="13"/>
  <c r="F91" i="13" l="1"/>
  <c r="E91" i="13" s="1"/>
  <c r="F97" i="13"/>
  <c r="E97" i="13" s="1"/>
  <c r="D186" i="13"/>
  <c r="H60" i="13" l="1"/>
  <c r="H59" i="13"/>
  <c r="H119" i="13"/>
  <c r="H108" i="13"/>
  <c r="E185" i="13" l="1"/>
  <c r="E187" i="13"/>
  <c r="I92" i="13"/>
  <c r="K209" i="13"/>
  <c r="I151" i="13"/>
  <c r="J129" i="13"/>
  <c r="I82" i="13"/>
  <c r="H140" i="13" l="1"/>
  <c r="G140" i="13" s="1"/>
  <c r="H139" i="13"/>
  <c r="G139" i="13" s="1"/>
  <c r="G143" i="13" l="1"/>
  <c r="E201" i="13"/>
  <c r="D201" i="13" l="1"/>
  <c r="D203" i="13" s="1"/>
  <c r="I217" i="13" l="1"/>
  <c r="F217" i="13" l="1"/>
  <c r="E217" i="13" s="1"/>
  <c r="E219" i="13" s="1"/>
  <c r="G162" i="13" l="1"/>
  <c r="D187" i="13" l="1"/>
  <c r="J131" i="13"/>
  <c r="I119" i="13" l="1"/>
  <c r="G119" i="13"/>
  <c r="I116" i="13"/>
  <c r="I96" i="13"/>
  <c r="I95" i="13"/>
  <c r="I94" i="13"/>
  <c r="I93" i="13"/>
  <c r="F119" i="13" l="1"/>
  <c r="E119" i="13" s="1"/>
  <c r="E121" i="13" s="1"/>
  <c r="G96" i="13" l="1"/>
  <c r="G95" i="13"/>
  <c r="G94" i="13"/>
  <c r="G93" i="13"/>
  <c r="F93" i="13" s="1"/>
  <c r="E93" i="13" s="1"/>
  <c r="G92" i="13"/>
  <c r="F92" i="13" s="1"/>
  <c r="E92" i="13" s="1"/>
  <c r="F96" i="13" l="1"/>
  <c r="E96" i="13" s="1"/>
  <c r="F95" i="13"/>
  <c r="E95" i="13" s="1"/>
  <c r="F94" i="13"/>
  <c r="E94" i="13" s="1"/>
  <c r="M72" i="13"/>
  <c r="M71" i="13"/>
  <c r="M70" i="13"/>
  <c r="I71" i="13"/>
  <c r="E99" i="13" l="1"/>
  <c r="D185" i="13"/>
  <c r="D189" i="13" s="1"/>
  <c r="F162" i="13"/>
  <c r="F164" i="13" s="1"/>
  <c r="G108" i="13"/>
  <c r="I108" i="13"/>
  <c r="I104" i="13"/>
  <c r="J73" i="13"/>
  <c r="J72" i="13"/>
  <c r="J71" i="13"/>
  <c r="J70" i="13"/>
  <c r="F108" i="13" l="1"/>
  <c r="E108" i="13" s="1"/>
  <c r="E110" i="13" s="1"/>
  <c r="E173" i="13"/>
  <c r="E176" i="13" s="1"/>
  <c r="F70" i="13"/>
  <c r="E70" i="13" s="1"/>
  <c r="F72" i="13"/>
  <c r="F71" i="13"/>
  <c r="F73" i="13"/>
  <c r="E72" i="13" l="1"/>
  <c r="E71" i="13"/>
  <c r="E73" i="13"/>
  <c r="E75" i="13" l="1"/>
  <c r="D225" i="13" s="1"/>
  <c r="D79" i="18"/>
  <c r="D82" i="18" s="1"/>
  <c r="D86" i="18" s="1"/>
  <c r="C15" i="13" s="1"/>
  <c r="D15" i="13" l="1"/>
  <c r="D10" i="13"/>
  <c r="C24" i="13" l="1"/>
  <c r="C23" i="13"/>
  <c r="C26" i="13"/>
  <c r="C25" i="13"/>
</calcChain>
</file>

<file path=xl/sharedStrings.xml><?xml version="1.0" encoding="utf-8"?>
<sst xmlns="http://schemas.openxmlformats.org/spreadsheetml/2006/main" count="1950" uniqueCount="495">
  <si>
    <t>№</t>
  </si>
  <si>
    <t>Наименование</t>
  </si>
  <si>
    <t>Кол-во</t>
  </si>
  <si>
    <t>базовая интенсивность отказов</t>
  </si>
  <si>
    <t>Kp</t>
  </si>
  <si>
    <t>Кп.с.</t>
  </si>
  <si>
    <t>Кэ</t>
  </si>
  <si>
    <t>Кпр</t>
  </si>
  <si>
    <t>Vrated</t>
  </si>
  <si>
    <t>Ккорп</t>
  </si>
  <si>
    <t>Кv</t>
  </si>
  <si>
    <t>Кs</t>
  </si>
  <si>
    <t>Кф</t>
  </si>
  <si>
    <t>Kр</t>
  </si>
  <si>
    <r>
      <t>lS</t>
    </r>
    <r>
      <rPr>
        <sz val="10"/>
        <color theme="1"/>
        <rFont val="GOST type A"/>
        <family val="2"/>
        <charset val="204"/>
      </rPr>
      <t>э Г</t>
    </r>
  </si>
  <si>
    <r>
      <t>l</t>
    </r>
    <r>
      <rPr>
        <sz val="10"/>
        <color theme="1"/>
        <rFont val="GOST type A"/>
        <family val="2"/>
        <charset val="204"/>
      </rPr>
      <t>э</t>
    </r>
  </si>
  <si>
    <r>
      <t>l</t>
    </r>
    <r>
      <rPr>
        <sz val="10"/>
        <color theme="1"/>
        <rFont val="GOST type A"/>
        <family val="2"/>
        <charset val="204"/>
      </rPr>
      <t>бсг</t>
    </r>
  </si>
  <si>
    <r>
      <t>l</t>
    </r>
    <r>
      <rPr>
        <sz val="10"/>
        <color theme="1"/>
        <rFont val="GOST type A"/>
        <family val="2"/>
        <charset val="204"/>
      </rPr>
      <t>б</t>
    </r>
  </si>
  <si>
    <r>
      <rPr>
        <sz val="10"/>
        <color theme="1"/>
        <rFont val="Symbol"/>
        <family val="1"/>
        <charset val="2"/>
      </rPr>
      <t>l</t>
    </r>
    <r>
      <rPr>
        <sz val="10"/>
        <color theme="1"/>
        <rFont val="GOST type A"/>
        <family val="2"/>
        <charset val="204"/>
      </rPr>
      <t>бсг</t>
    </r>
  </si>
  <si>
    <t>KR</t>
  </si>
  <si>
    <t>Kм</t>
  </si>
  <si>
    <t>Kстаб</t>
  </si>
  <si>
    <t>Kэ</t>
  </si>
  <si>
    <t>Kпр</t>
  </si>
  <si>
    <t>Ка</t>
  </si>
  <si>
    <t xml:space="preserve">Режим: Эксплуатация и хранение </t>
  </si>
  <si>
    <t>Условия: группа 5.3</t>
  </si>
  <si>
    <r>
      <rPr>
        <b/>
        <sz val="11"/>
        <color theme="1"/>
        <rFont val="Arial"/>
        <family val="2"/>
        <charset val="204"/>
      </rPr>
      <t>Резисторы</t>
    </r>
    <r>
      <rPr>
        <sz val="11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</si>
  <si>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коэффициент учета номинального сопротивления</t>
  </si>
  <si>
    <t>коэффициент учета номинальной мощности</t>
  </si>
  <si>
    <t>коэффициент учета допуска номинального сопротивления</t>
  </si>
  <si>
    <t>Кусл</t>
  </si>
  <si>
    <t>коэффициент учета жесткости условий эксплуатации (группа 5.3; Кэ=4)</t>
  </si>
  <si>
    <t>коэффициент учета изменения интенсивности отказов в зав-ти от условий эксплуатации в режиме хранения (Кусл=4)</t>
  </si>
  <si>
    <t>коэффициент учета приемки (Кпр=0,3)</t>
  </si>
  <si>
    <t>коэффициент учета качества производства аппаратуры (Ка=0,2)</t>
  </si>
  <si>
    <t>Конденсаторы</t>
  </si>
  <si>
    <t>базовая групповая интенсивность отказов</t>
  </si>
  <si>
    <t>коэффициент режима в зав-ти от температуры окр. среды и режима нагрузки</t>
  </si>
  <si>
    <t>коэффициент учета величины эквивалентного последовательного сопротивления конденсатора</t>
  </si>
  <si>
    <t>Kс</t>
  </si>
  <si>
    <t>коэффициент учета номинальной емкости</t>
  </si>
  <si>
    <t>коэффициент учета приемки (Кпр=1)</t>
  </si>
  <si>
    <t>Кc</t>
  </si>
  <si>
    <r>
      <rPr>
        <b/>
        <sz val="10"/>
        <color theme="1"/>
        <rFont val="Arial"/>
        <family val="2"/>
        <charset val="204"/>
      </rPr>
      <t>Конденсаторы постоянной емкости керамические на номинальное напряжение до 1600 В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</si>
  <si>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0"/>
        <color theme="1"/>
        <rFont val="Arial"/>
        <family val="2"/>
        <charset val="204"/>
      </rPr>
      <t>Резисторы постоянные непроволочные металлодиэлектрические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</si>
  <si>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0"/>
        <color theme="1"/>
        <rFont val="Arial"/>
        <family val="2"/>
        <charset val="204"/>
      </rPr>
      <t>Конденсаторы оксидно-полупроводниковые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</si>
  <si>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Kt</t>
  </si>
  <si>
    <t>Микросхемы интегральные</t>
  </si>
  <si>
    <t xml:space="preserve">Микросхемы интегральные полупроводниковые аналоговые </t>
  </si>
  <si>
    <t>Kст</t>
  </si>
  <si>
    <t>коэффициент режима в зав-ти от температуры окр. среды и сложности микросхемы</t>
  </si>
  <si>
    <t xml:space="preserve">коэффициент учета приемки </t>
  </si>
  <si>
    <t xml:space="preserve">коэффициент учета типа корпуса микросхемы </t>
  </si>
  <si>
    <t>Kv</t>
  </si>
  <si>
    <t>коэффициент учета напряжения питания микросхемы</t>
  </si>
  <si>
    <t>1467УД3   АЕЯР.431000.257-05 ТУ</t>
  </si>
  <si>
    <t>Технология</t>
  </si>
  <si>
    <t>БИПОЛ</t>
  </si>
  <si>
    <t>КМОП</t>
  </si>
  <si>
    <t>Полупроводниковые приборы</t>
  </si>
  <si>
    <t>Транзисторы биполярные кремниевые средней мощности</t>
  </si>
  <si>
    <t>коэффициент режима в зав-ти от температуры окр. среды и электрической нагрузки</t>
  </si>
  <si>
    <t>Кдн</t>
  </si>
  <si>
    <t xml:space="preserve">коэффициент учета функционального назначения ЭРИ </t>
  </si>
  <si>
    <t>Ks</t>
  </si>
  <si>
    <t>коэффициент режима в зав-ти от максимально допустимой электрической нагрузки</t>
  </si>
  <si>
    <t>коэффициент режима в зав-ти от максимальной величины рабочего напряжения</t>
  </si>
  <si>
    <t>2Т665А91  АЕЯР.432140.561 ТУ</t>
  </si>
  <si>
    <t>Диоды СВЧ</t>
  </si>
  <si>
    <t>Диоды импульсные</t>
  </si>
  <si>
    <t>2Д814А1  АЕЯР.432120.340 ТУ</t>
  </si>
  <si>
    <t>Транзисторы полевые мощные СВЧ</t>
  </si>
  <si>
    <t>Pr/Pmax</t>
  </si>
  <si>
    <t>Vr/Vmax</t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</si>
  <si>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GOST type A"/>
        <family val="2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Calibri"/>
        <family val="2"/>
        <charset val="204"/>
        <scheme val="minor"/>
      </rPr>
      <t>=</t>
    </r>
  </si>
  <si>
    <r>
      <rPr>
        <b/>
        <sz val="10"/>
        <color theme="1"/>
        <rFont val="Arial"/>
        <family val="2"/>
        <charset val="204"/>
      </rPr>
      <t xml:space="preserve">Фильтры помехоподавляющие  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</si>
  <si>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Для расчета эксплуатационной интенсивности отказов на этапе эксплуатации для конденсаторов используется модель 2; в режиме ожидания - табл.2 (группа изделий - конденсаторы, для неподвижных объектов).  </t>
  </si>
  <si>
    <t>1156ЕУ2АТ  АЕЯР.431420.742-01ТУ</t>
  </si>
  <si>
    <t>Кол-во элементов</t>
  </si>
  <si>
    <t>Ir/Imax</t>
  </si>
  <si>
    <t>Диоды выпрямительные</t>
  </si>
  <si>
    <t>Диодные сборки</t>
  </si>
  <si>
    <t>Транзисторы полевые силовые</t>
  </si>
  <si>
    <t>Трансформаторы импульсные</t>
  </si>
  <si>
    <t>коэффициент режима в зав-ти от максимально допустимых температур по ТУ</t>
  </si>
  <si>
    <t>Tmax</t>
  </si>
  <si>
    <t>105-130</t>
  </si>
  <si>
    <t>Дроссели фильтров</t>
  </si>
  <si>
    <t>коэффициент режима в зав-ти от электрической нагрузки и температуры окружающей среды</t>
  </si>
  <si>
    <t>Дроссели</t>
  </si>
  <si>
    <t xml:space="preserve">Для расчета эксплуатационной интенсивности отказов на этапе эксплуатации для резисторов Р1-8МП (прецизионные), Р1-8  ОЖ0.467.164 ТУ используется модель 1; в режиме ожидания - модель 3.  </t>
  </si>
  <si>
    <t>К10-84в – 100 В – 100 пФ +- 5%</t>
  </si>
  <si>
    <t>К10-84в – 100 В – 1000 пФ +- 5%</t>
  </si>
  <si>
    <r>
      <t xml:space="preserve">ОС К53-68 «С» – 25 В – 10 мкФ </t>
    </r>
    <r>
      <rPr>
        <sz val="10"/>
        <color theme="1"/>
        <rFont val="Arial"/>
        <family val="2"/>
        <charset val="204"/>
      </rPr>
      <t>+- 20%</t>
    </r>
  </si>
  <si>
    <t>Фильтр Б24в-250 В-1200пФ+50%-20% - Н30 - 10</t>
  </si>
  <si>
    <t xml:space="preserve">Для расчета эксплуатационной интенсивности отказов на этапе эксплуатации для фильтров помехоподавляющих Б24 АЖЯР.431145.003 ТУ используется модель 2; в режиме ожидания - табл.2 (группа изделий - конденсаторы, для неподвижных объектов).  </t>
  </si>
  <si>
    <t>1343ЕИ5У   АЕЯР.431420.838-01 ТУ</t>
  </si>
  <si>
    <t>1158ЕН5ВХ   АЕЯР.431420.773 ТУ</t>
  </si>
  <si>
    <t>2Т665Б91  АЕЯР.432140.561 ТУ</t>
  </si>
  <si>
    <t>6П9163Б2  АЕЯР.432140.877 ТУ</t>
  </si>
  <si>
    <t>6П9163А2  АЕЯР.432140.877 ТУ</t>
  </si>
  <si>
    <t xml:space="preserve">Для расчета эксплуатационной интенсивности отказов на этапе эксплуатации для биполярных транзисторов 2Т665Б91 используется модель 1; в режиме ожидания - модель 3.  </t>
  </si>
  <si>
    <t>Ш3723 ТЧ  ИВЯФ.671121.365</t>
  </si>
  <si>
    <t>Катушки индуктивности высокочастотные</t>
  </si>
  <si>
    <t xml:space="preserve">Для расчета эксплуатационной интенсивности отказов на этапе эксплуатации КИВ 21К-22 используется модель 2; в режиме ожидания - модель 3.  </t>
  </si>
  <si>
    <t>2ДШ207А91  АЕЯР.432120.786 ТУ</t>
  </si>
  <si>
    <t>2ДШ152А91  АЕЯР.432120.786 ТУ</t>
  </si>
  <si>
    <t>Приборы ферритовые СВЧ</t>
  </si>
  <si>
    <t>Вентили полосковые высокого уровня мощности</t>
  </si>
  <si>
    <t>интенсивность отказов из справочника надежность-2006 (л.145)</t>
  </si>
  <si>
    <t>интенсивность отказов из справочника надежность-2006 (л.317)</t>
  </si>
  <si>
    <t>интенсивность отказов из справочника надежность-2006 (л.99)</t>
  </si>
  <si>
    <t>интенсивность отказов из справочника надежность-2006 (л.136)</t>
  </si>
  <si>
    <t>интенсивность отказов из справочника надежность-2006 (л.347)</t>
  </si>
  <si>
    <t>интенсивность отказов из справочника надежность-2006 (л.353)</t>
  </si>
  <si>
    <t>интенсивность отказов из справочника надежность-2006 (л.318)</t>
  </si>
  <si>
    <t xml:space="preserve">Тгамма при гамма=97,5% равно 1.63*10^6 ч для 1324УВ7У </t>
  </si>
  <si>
    <t>интенсивность отказов из ТУ (рис.5 ОТУ для tкр=50град)</t>
  </si>
  <si>
    <t>1467УД3</t>
  </si>
  <si>
    <t>интенсивность отказов из ТУ (рис.9 для tкр=50град)</t>
  </si>
  <si>
    <t>интенсивность отказов из КЖГП.468540.074ТУ (п.4.5.1)</t>
  </si>
  <si>
    <t>Р1-8МП</t>
  </si>
  <si>
    <t>базовая интенсивность отказов из справочника надежность-2006</t>
  </si>
  <si>
    <t>Р1-8В</t>
  </si>
  <si>
    <t>БИКМОП</t>
  </si>
  <si>
    <t>Режим: Эксплуатация</t>
  </si>
  <si>
    <t>ОСМ Р1-8МП – 0,125 – 100 кОм +- 1%</t>
  </si>
  <si>
    <t>К10-84в – 25 В – 0,18 мкФ +- 20%</t>
  </si>
  <si>
    <t>ОСМ Р1-8МП – 0,125 – 100 Ом +- 1%</t>
  </si>
  <si>
    <t xml:space="preserve">Для расчета эксплуатационной интенсивности отказов на этапе эксплуатации для диодов СВЧ 2А305А92, 2А153А используется сведения раздела требования надежности из технических условий </t>
  </si>
  <si>
    <t>2А305А92  АЕЯР.432130.862 ТУ</t>
  </si>
  <si>
    <t>2А153А   АЕЯР.432130.805 ТУ</t>
  </si>
  <si>
    <t>К10-84в – 100 В – 10 пФ +- 5%</t>
  </si>
  <si>
    <t>К10-84в – 25 В – 0,056 мкФ +- 20%</t>
  </si>
  <si>
    <t xml:space="preserve">Для расчета эксплуатационной интенсивности отказов на этапе эксплуатации для микросхем 1324УВ17У1, 1467УД3 используется модель 2; в режиме ожидания - модель 4.  </t>
  </si>
  <si>
    <t>1324УВ17У1</t>
  </si>
  <si>
    <t>1324УВ17У1  АЕЯР.431000.760-30 ТУ</t>
  </si>
  <si>
    <t>ОСМ Р1-8МП – 0,125 – 1,5 кОм +- 1%</t>
  </si>
  <si>
    <t>Р1-8В – 0,25 – 1 Ом +- 5%</t>
  </si>
  <si>
    <t>6П9165А4  АЕЯР.432140.877ТУ</t>
  </si>
  <si>
    <t xml:space="preserve">Для расчета эксплуатационной интенсивности отказов на этапе эксплуатации для транзисторов 6П9163Б2, 6П9165А4, 6П9163А2 используем данные из ТУ (п.4.5.1);  </t>
  </si>
  <si>
    <t>К10-84в – 100 В – 0,47 пФ +- 0,25 пФ</t>
  </si>
  <si>
    <t>К10-84в – 50 В – 1,2 мкФ +- 20%</t>
  </si>
  <si>
    <t>МД21К-3,3  КВШУ.671344.017 ТУ</t>
  </si>
  <si>
    <t>Суммарная интенсивность отказов  узла УМ L1 на этапе эксплуатации</t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</si>
  <si>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GOST type A"/>
        <family val="2"/>
        <charset val="204"/>
      </rPr>
      <t>э</t>
    </r>
    <r>
      <rPr>
        <b/>
        <sz val="11"/>
        <color theme="1"/>
        <rFont val="Symbol"/>
        <family val="1"/>
        <charset val="2"/>
      </rPr>
      <t>S</t>
    </r>
    <r>
      <rPr>
        <b/>
        <sz val="9"/>
        <color theme="1"/>
        <rFont val="Arial"/>
        <family val="2"/>
        <charset val="204"/>
      </rPr>
      <t>УМ L1М</t>
    </r>
    <r>
      <rPr>
        <b/>
        <sz val="11"/>
        <color theme="1"/>
        <rFont val="Calibri"/>
        <family val="2"/>
        <charset val="204"/>
        <scheme val="minor"/>
      </rPr>
      <t>=</t>
    </r>
  </si>
  <si>
    <t>ФПВН3-521-3,4   ЕСКФ.430441.061 ТУ</t>
  </si>
  <si>
    <t>Для расчета эксплуатационной интенсивности отказов на этапе эксплуатации для вентилей ФПВН3-521-3,4 используем данные из ТУ (п.4.5.1.1);</t>
  </si>
  <si>
    <t>Тгамма при гамма=99,9% равно 150000</t>
  </si>
  <si>
    <t xml:space="preserve">Режим: Эксплуатация </t>
  </si>
  <si>
    <t>Поз. обозн.</t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</si>
  <si>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GOST type A"/>
        <family val="2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Arial"/>
        <family val="2"/>
        <charset val="204"/>
      </rPr>
      <t>атт</t>
    </r>
    <r>
      <rPr>
        <b/>
        <sz val="10"/>
        <color theme="1"/>
        <rFont val="Calibri"/>
        <family val="2"/>
        <charset val="204"/>
        <scheme val="minor"/>
      </rPr>
      <t>=</t>
    </r>
  </si>
  <si>
    <r>
      <t>l</t>
    </r>
    <r>
      <rPr>
        <sz val="10"/>
        <color theme="1"/>
        <rFont val="GOST type A"/>
        <family val="2"/>
        <charset val="204"/>
      </rPr>
      <t>b</t>
    </r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</si>
  <si>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</si>
  <si>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</si>
  <si>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</si>
  <si>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</si>
  <si>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</si>
  <si>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</si>
  <si>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</si>
  <si>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</si>
  <si>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</si>
  <si>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</si>
  <si>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R4</t>
  </si>
  <si>
    <t>R5</t>
  </si>
  <si>
    <t>R6</t>
  </si>
  <si>
    <t>C10</t>
  </si>
  <si>
    <t>C12</t>
  </si>
  <si>
    <t>C13</t>
  </si>
  <si>
    <t>C14</t>
  </si>
  <si>
    <t>Резистор напыленный</t>
  </si>
  <si>
    <t xml:space="preserve">элемент конструктивный - в расчете не учитываются </t>
  </si>
  <si>
    <t>R9</t>
  </si>
  <si>
    <t>R10</t>
  </si>
  <si>
    <t>R11</t>
  </si>
  <si>
    <t>R12</t>
  </si>
  <si>
    <t>R13</t>
  </si>
  <si>
    <t>R14</t>
  </si>
  <si>
    <t>R15</t>
  </si>
  <si>
    <t>R16</t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</si>
  <si>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GOST type A"/>
        <family val="2"/>
        <charset val="204"/>
      </rPr>
      <t>э</t>
    </r>
    <r>
      <rPr>
        <b/>
        <sz val="11"/>
        <color theme="1"/>
        <rFont val="Symbol"/>
        <family val="1"/>
        <charset val="2"/>
      </rPr>
      <t>S</t>
    </r>
    <r>
      <rPr>
        <b/>
        <sz val="9"/>
        <color theme="1"/>
        <rFont val="Arial"/>
        <family val="2"/>
        <charset val="204"/>
      </rPr>
      <t>Усилитель 2-3</t>
    </r>
    <r>
      <rPr>
        <b/>
        <sz val="11"/>
        <color theme="1"/>
        <rFont val="Calibri"/>
        <family val="2"/>
        <charset val="204"/>
        <scheme val="minor"/>
      </rPr>
      <t>=</t>
    </r>
  </si>
  <si>
    <t>C11</t>
  </si>
  <si>
    <t>R2</t>
  </si>
  <si>
    <t>С16</t>
  </si>
  <si>
    <t>R3</t>
  </si>
  <si>
    <t>R7</t>
  </si>
  <si>
    <t>R8</t>
  </si>
  <si>
    <t>R19</t>
  </si>
  <si>
    <t>R20</t>
  </si>
  <si>
    <t>R22</t>
  </si>
  <si>
    <t>R23</t>
  </si>
  <si>
    <t>D5</t>
  </si>
  <si>
    <t>V1</t>
  </si>
  <si>
    <t>V2</t>
  </si>
  <si>
    <t>К10-84в – 2012М – 100 В – МП0 – 100 пФ ± 5% – N</t>
  </si>
  <si>
    <r>
      <t>lS</t>
    </r>
    <r>
      <rPr>
        <sz val="10"/>
        <color theme="1"/>
        <rFont val="GOST type A"/>
        <family val="2"/>
        <charset val="204"/>
      </rPr>
      <t>э</t>
    </r>
  </si>
  <si>
    <t xml:space="preserve">Для расчета эксплуатационной интенсивности отказов на этапе эксплуатации для конденсаторов используется модель 2 (группа изделий - конденсаторы, для неподвижных объектов).  </t>
  </si>
  <si>
    <t>базовая интенсивность отказов из справочника (табл.2, л.353)</t>
  </si>
  <si>
    <t xml:space="preserve">Для расчета эксплуатационной интенсивности отказов на этапе эксплуатации для резисторов Р1-8МП (прецизионные) используется модель 1.  </t>
  </si>
  <si>
    <t>6П9163Б2  АЕЯР.432140.877ТУ</t>
  </si>
  <si>
    <t>К10-84</t>
  </si>
  <si>
    <t>Для расчета эксплуатационной интенсивности отказов на этапе эксплуатации для резисторов Р1-8МП (прецизионные) используется модель 1</t>
  </si>
  <si>
    <t>ОСМ Р1-8МП – 0,125 – 1 кОм ± 1 % – Л – А – М</t>
  </si>
  <si>
    <t>ОСМ Р1-8МП – 0,125 – 10 кОм ±1 % – Л – А – М</t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</si>
  <si>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GOST type A"/>
        <family val="2"/>
        <charset val="204"/>
      </rPr>
      <t>э</t>
    </r>
    <r>
      <rPr>
        <b/>
        <sz val="11"/>
        <color theme="1"/>
        <rFont val="Symbol"/>
        <family val="1"/>
        <charset val="2"/>
      </rPr>
      <t>S</t>
    </r>
    <r>
      <rPr>
        <b/>
        <sz val="9"/>
        <color theme="1"/>
        <rFont val="Arial"/>
        <family val="2"/>
        <charset val="204"/>
      </rPr>
      <t>Детектор</t>
    </r>
    <r>
      <rPr>
        <b/>
        <sz val="11"/>
        <color theme="1"/>
        <rFont val="Calibri"/>
        <family val="2"/>
        <charset val="204"/>
        <scheme val="minor"/>
      </rPr>
      <t>=</t>
    </r>
  </si>
  <si>
    <t>V1,V2</t>
  </si>
  <si>
    <t>ОСМ Р1-8МП – 0,125 – 4,64 кОм ±1 % – Л – А – М</t>
  </si>
  <si>
    <t>ОСМ Р1-8МП – 0,125 – 4,22 кОм ±1 % – Л – А – М</t>
  </si>
  <si>
    <t>ОСМ Р1-8МП - 0,125 – 332 Ом ±1 % – Л – А – М</t>
  </si>
  <si>
    <t>ОСМ Р1-8МП – 0,125 – 100 кОм ±1 % – Л – А – М</t>
  </si>
  <si>
    <t>ОСМ Р1-8МП – 0,125 – 1 кОм ±1 % – Л – А – М</t>
  </si>
  <si>
    <t>ОСМ Р1-8МП – 0,25 – 110 Ом ±1 % – Л – А – М</t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</si>
  <si>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GOST type A"/>
        <family val="2"/>
        <charset val="204"/>
      </rPr>
      <t>э</t>
    </r>
    <r>
      <rPr>
        <b/>
        <sz val="11"/>
        <color theme="1"/>
        <rFont val="Symbol"/>
        <family val="1"/>
        <charset val="2"/>
      </rPr>
      <t>S</t>
    </r>
    <r>
      <rPr>
        <b/>
        <sz val="9"/>
        <color theme="1"/>
        <rFont val="Arial"/>
        <family val="2"/>
        <charset val="204"/>
      </rPr>
      <t>АРМ</t>
    </r>
    <r>
      <rPr>
        <b/>
        <sz val="11"/>
        <color theme="1"/>
        <rFont val="Calibri"/>
        <family val="2"/>
        <charset val="204"/>
        <scheme val="minor"/>
      </rPr>
      <t>=</t>
    </r>
  </si>
  <si>
    <t xml:space="preserve">Для расчета эксплуатационной интенсивности отказов на этапе эксплуатации для фильтров помехоподавляющих Б24 АЖЯР.431145.003 ТУ используется модель 2 (группа изделий - конденсаторы, для неподвижных объектов).  </t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</si>
  <si>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э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Calibri"/>
        <family val="2"/>
        <charset val="204"/>
        <scheme val="minor"/>
      </rPr>
      <t>Усилитель 2-3=</t>
    </r>
  </si>
  <si>
    <t>К10-84в - 3216М - 250 В - Н20 - 0,047 мкФ ± 20% - О</t>
  </si>
  <si>
    <t>К10-84в - 2012М - 25 В - Н20 - 0,056 мкФ ± 20% - N</t>
  </si>
  <si>
    <t>С13</t>
  </si>
  <si>
    <t>С14</t>
  </si>
  <si>
    <t>С15</t>
  </si>
  <si>
    <t>С29</t>
  </si>
  <si>
    <t>С31</t>
  </si>
  <si>
    <t>С36</t>
  </si>
  <si>
    <t>С37</t>
  </si>
  <si>
    <t>R35</t>
  </si>
  <si>
    <t>ОСМ Р1-8МП - 0,25 - 15 Ом ± 1 % - Л - А - М</t>
  </si>
  <si>
    <t xml:space="preserve">Для расчета эксплуатационной интенсивности отказов на этапе эксплуатации для резисторов Р1-8МП (прецизионные) и Р1-8В используется модель 1.  </t>
  </si>
  <si>
    <t>T1</t>
  </si>
  <si>
    <t>T2</t>
  </si>
  <si>
    <t>T3</t>
  </si>
  <si>
    <t>T4</t>
  </si>
  <si>
    <t xml:space="preserve">Для расчета эксплуатационной интенсивности отказов на этапе эксплуатации для биполярных транзисторов 2Т665Б91 используется модель 2.  </t>
  </si>
  <si>
    <r>
      <rPr>
        <b/>
        <sz val="10"/>
        <color theme="1"/>
        <rFont val="Arial"/>
        <family val="2"/>
        <charset val="204"/>
      </rPr>
      <t xml:space="preserve">Конденсаторы постоянной емкости полиэтилентерефталатные металлопленочные низковольтные 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</si>
  <si>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Kr</t>
  </si>
  <si>
    <t xml:space="preserve">T </t>
  </si>
  <si>
    <t>T</t>
  </si>
  <si>
    <t>К10-84в – 2012М – 50 В – Н20 – 0,01 мкФ ± 20% – N</t>
  </si>
  <si>
    <t>К10-84в – 3216М – 50 В – Н20 – 0,1 мкФ ± 20% – N</t>
  </si>
  <si>
    <t>эксплуатационная интенсивность отказов</t>
  </si>
  <si>
    <t>R1</t>
  </si>
  <si>
    <t>C17</t>
  </si>
  <si>
    <t>C18</t>
  </si>
  <si>
    <t>C15</t>
  </si>
  <si>
    <t>6П9163А2  АЕЯР.432140.877ТУ</t>
  </si>
  <si>
    <t xml:space="preserve">Элемент конструктивный - в расчете не учитываются </t>
  </si>
  <si>
    <t xml:space="preserve">Для расчета эксплуатационной интенсивности отказов на этапе эксплуатации для микросхем 1343ЕИ5У, 1158ЕН5ВХ используется модель 2.  </t>
  </si>
  <si>
    <t>Для расчета эксплуатационной интенсивности отказов на этапе эксплуатации для микросхемы 1467УД3У используются сведения из АЕЯР.431000.257-05ТУ (рис. 9 ТУ)</t>
  </si>
  <si>
    <t>D4</t>
  </si>
  <si>
    <t>R17</t>
  </si>
  <si>
    <t>R18</t>
  </si>
  <si>
    <t>R21</t>
  </si>
  <si>
    <t>С12</t>
  </si>
  <si>
    <t>С19</t>
  </si>
  <si>
    <t>С20</t>
  </si>
  <si>
    <t>С25</t>
  </si>
  <si>
    <t>С26</t>
  </si>
  <si>
    <t>С38</t>
  </si>
  <si>
    <t>эксплуататционная интенсивность отказов в облегченном режиме работы из ТУ (табл. 4.6 на л.17 АЖЯР.673546.008 ТУ)</t>
  </si>
  <si>
    <t>С27</t>
  </si>
  <si>
    <t>С28</t>
  </si>
  <si>
    <t>С30</t>
  </si>
  <si>
    <t>С32</t>
  </si>
  <si>
    <t>С33</t>
  </si>
  <si>
    <t>С34</t>
  </si>
  <si>
    <t>С35</t>
  </si>
  <si>
    <t>D3</t>
  </si>
  <si>
    <t>D2</t>
  </si>
  <si>
    <t>1156ЕУ2АТ</t>
  </si>
  <si>
    <t>L1</t>
  </si>
  <si>
    <t>L2</t>
  </si>
  <si>
    <t>L3</t>
  </si>
  <si>
    <t>L4</t>
  </si>
  <si>
    <t>R27</t>
  </si>
  <si>
    <t>R28</t>
  </si>
  <si>
    <t>R29</t>
  </si>
  <si>
    <t>R30</t>
  </si>
  <si>
    <t>R33</t>
  </si>
  <si>
    <t>R34</t>
  </si>
  <si>
    <t>R36</t>
  </si>
  <si>
    <t>R37</t>
  </si>
  <si>
    <t>R38</t>
  </si>
  <si>
    <t>R39</t>
  </si>
  <si>
    <t>R40</t>
  </si>
  <si>
    <t>R41</t>
  </si>
  <si>
    <t>R42</t>
  </si>
  <si>
    <t>интенсивность отказов из ТУ (п.4.5.1.2 АЕЯР.432120.340ТУ)</t>
  </si>
  <si>
    <t>V4</t>
  </si>
  <si>
    <t>V6</t>
  </si>
  <si>
    <t>V7</t>
  </si>
  <si>
    <t>V8</t>
  </si>
  <si>
    <t>Среднеинтегральная температура посадочного места изделия, °C: 25</t>
  </si>
  <si>
    <t>Для расчета эксплуатационной интенсивности отказов на этапе эксплуатации для диодов СВЧ используем данные из п. 4.5.1.2  АЕЯР.432130.862 ТУ.</t>
  </si>
  <si>
    <t>Результаты расчета интенсивности отказов узла Аттенюатор ИВЯФ.467716.220</t>
  </si>
  <si>
    <t>R1, R4</t>
  </si>
  <si>
    <t>R2, R3</t>
  </si>
  <si>
    <t>2А305А92   АЕЯР.432130.862 ТУ</t>
  </si>
  <si>
    <t xml:space="preserve">температура корпуса ЭРИ с учётом температуры перегрева относительно среднеинтегральной температуры посадочного места изделия (из теплового расчета ИВЯФ.464214.231 РР17) </t>
  </si>
  <si>
    <t>Результаты расчета интенсивности отказов узла Усилитель 1  ИВЯФ.434815.714</t>
  </si>
  <si>
    <t>К10-84в – 1608М – 100 В – МП0 – 10 пФ ± 5% – N</t>
  </si>
  <si>
    <t>К10-84в – 3216М – 25 В – Н20 – 0,18 мкФ ± 20% – N</t>
  </si>
  <si>
    <t>1324УВ17У1   АЕЯР.431000.760-30 ТУ</t>
  </si>
  <si>
    <t>Для расчета эксплуатационной интенсивности отказов на этапе эксплуатации для микросхемы 1324УВ17У1 используются сведения из п. 6.2.3 АЕЯР.431000.760-30 ТУ (рис. 93)</t>
  </si>
  <si>
    <t>Для расчета эксплуатационной интенсивности отказов на этапе эксплуатации МД21К-6,8  КВШУ.671344.017 ТУ  используется модель 2 (группа изделий - дроссели, для неподвижных объектов).</t>
  </si>
  <si>
    <t>МД21К-6,8   КВШУ.671344.017 ТУ</t>
  </si>
  <si>
    <t>ОСМ Р1-8МП – 0,125 – 30,1 Ом ± 1 % – Л – А – М</t>
  </si>
  <si>
    <t>ОСМ Р1-8МП – 0,125 – 200 Ом ± 1 % – Л – А – М</t>
  </si>
  <si>
    <t>ОСМ Р1-8МП – 0,25 – 22,6 Ом ± 1 % – Л – А – М</t>
  </si>
  <si>
    <t>Результаты расчета интенсивности отказов узла Усилитель 2-3  ИВЯФ.434815.715</t>
  </si>
  <si>
    <t>К10-71</t>
  </si>
  <si>
    <t>базовая групповая интенсивность отказов из справочника надежность-2006 (л.317)</t>
  </si>
  <si>
    <t>базовая интенсивность отказов из справочника надежность-2006 (л.320)</t>
  </si>
  <si>
    <t xml:space="preserve">Для расчета эксплуатационной интенсивности отказов на этапе эксплуатации для конденсаторов К10-84 используется модель 2, для конденсаторов К10-71 - модель 1 (группа изделий - конденсаторы, для неподвижных объектов).  </t>
  </si>
  <si>
    <t>К10-84в - 2012М - 100 В - МП0 - 10 пФ ± 5 % - N - 25 вар</t>
  </si>
  <si>
    <t>К10-71-2 - М1500 - 56 пФ ± 10 % - 8</t>
  </si>
  <si>
    <t>К10-84в - 3216М - 25 В - Н20 - 0,18 мкФ ± 20 % - N</t>
  </si>
  <si>
    <t>К10-84в - 4025М - 50 В - Н20 - 1,2 мкФ ± 20 % - O</t>
  </si>
  <si>
    <t>ОСМ Р1-8МП – 0,125 – 787 Ом ± 1 % - Л – А – М</t>
  </si>
  <si>
    <t>ОСМ Р1-8В – 0,25 – 1 Ом ± 5 % – Т – А – М</t>
  </si>
  <si>
    <t>Результаты расчета интенсивности отказов узла Усилитель 4  ИВЯФ.434815.716</t>
  </si>
  <si>
    <t>базовая групповая групповая интенсивность отказов</t>
  </si>
  <si>
    <t>ОСМ Р1-8МП – 0,125 – 392 Ом ± 1 % - Л – А – М</t>
  </si>
  <si>
    <t>Результаты расчета интенсивности отказов узла Детектор ИВЯФ.434844.139</t>
  </si>
  <si>
    <t>К10-84в - 2012М - 25 В - Н20 - 0,056 мкФ +- 20 % - N</t>
  </si>
  <si>
    <t>К10-84в - 2012М - 50 В - МП0 - 100 пФ +- 20 % - N</t>
  </si>
  <si>
    <t>К10-84в - 3216М - 50 В - Н20 - 0,1 мкФ +- 20 % - N</t>
  </si>
  <si>
    <t>D1, D2</t>
  </si>
  <si>
    <t>Для расчета эксплуатационной интенсивности отказов на этапе эксплуатации МД21К-3,3  КВШУ.671344.017 ТУ  используется модель 2 (группа изделий - дроссели, для неподвижных объектов).</t>
  </si>
  <si>
    <t>МД21К-3,3   КВШУ.671344.017 ТУ</t>
  </si>
  <si>
    <t>ОСМ Р1-8МП – 0,125 – 3,01 кОм ± 1 % – Л – А – М</t>
  </si>
  <si>
    <t>ОСМ Р1-8МП – 0,125 – 9,09 кОм ± 1 % – Л – А – М</t>
  </si>
  <si>
    <t>ОСМ Р1-8МП – 0,125 – 10 кОм ± 1 % – Л – А – М</t>
  </si>
  <si>
    <t>ОСМ Р1-8МП – 0,125 – 100 кОм ± 1 % – Л – А – М</t>
  </si>
  <si>
    <t>ОСМ Р1-8МП – 0,125 – 2,74 кОм ± 1 % – Л – А – М</t>
  </si>
  <si>
    <t>ОСМ Р1-8МП – 0,25 – 1 кОм ± 1 % – Л – А – М</t>
  </si>
  <si>
    <t>ОСМ Р1-8МП - 0,125 - 30,1 Ом ± 1 % - Л - А - М</t>
  </si>
  <si>
    <t>ОСМ Р1-8МП - 0,125 - 100 Ом ± 1 % - Л - А - М</t>
  </si>
  <si>
    <t>ОСМ Р1-8МП - 0,125 - 511 Ом ± 1 % - Л - А - М</t>
  </si>
  <si>
    <t>ОСМ Р1-8МП – 0,125 – 27,4 кОм ± 1 % – Л – А – М</t>
  </si>
  <si>
    <t>Результаты расчета интенсивности отказов узла АРМ  ИВЯФ.431139.123</t>
  </si>
  <si>
    <t>Для расчета эксплуатационной интенсивности отказов на этапе эксплуатации для биполярных транзисторов 2Т665Б91 используется модель 1.</t>
  </si>
  <si>
    <t>ОСМ Р1-8МП – 0,125 – 33,2 Ом ± 1 % – Л – А – М</t>
  </si>
  <si>
    <t>Результаты расчета интенсивности отказов узла Стабилизатор  ИВЯФ.434744.319</t>
  </si>
  <si>
    <t>С21</t>
  </si>
  <si>
    <t>С22</t>
  </si>
  <si>
    <t>С23</t>
  </si>
  <si>
    <t>С24</t>
  </si>
  <si>
    <t>R24</t>
  </si>
  <si>
    <t>R25</t>
  </si>
  <si>
    <t>R26</t>
  </si>
  <si>
    <t>R31</t>
  </si>
  <si>
    <t>R32</t>
  </si>
  <si>
    <t>R43</t>
  </si>
  <si>
    <t>R44</t>
  </si>
  <si>
    <t>К10-84в - 2012М - 100 В - МП0 - 47 пФ ± 5 % - N</t>
  </si>
  <si>
    <t>К10-84в - 2012М - 25 В - Н20 - 0,056 мкФ ± 20 % - N</t>
  </si>
  <si>
    <t>К10-84в - 2012М - 100 В - МП0 - 270 пФ ± 5 % - N</t>
  </si>
  <si>
    <t>К10-84в - 3216М - 25 В - Н20 - 0,39 мкФ ± 20 % - О</t>
  </si>
  <si>
    <t>К10-84в - 3216М - 250 В - Н20 - 0,022 мкФ ± 20 % - N</t>
  </si>
  <si>
    <t>К10-84в - 3225М - 25 В - Н20 - 1 мкФ ± 20 % - О</t>
  </si>
  <si>
    <t>К10-84в - 2012М - 50 В - Н20 - 4700 пФ ± 20 % - N</t>
  </si>
  <si>
    <t>К10-84в - 2012М - 100 В - МП0 - 100 пФ ± 5 % - N</t>
  </si>
  <si>
    <t>К10-84в - 2012М - 50 В - МП0 - 1500 пФ ± 5 % - N</t>
  </si>
  <si>
    <t>К10-84в - 2012М - 50 В - Н20 - 0,027 мкФ ± 20 % - N</t>
  </si>
  <si>
    <t>К10-84в - 3216М - 250 В - МП0 - 1000 пФ ± 5 % - N</t>
  </si>
  <si>
    <t>К10-84в - 3216М - 100 В - МП0 - 1500 пФ ± 5 % - N</t>
  </si>
  <si>
    <t>К53 - 72 - "Е" - 25В - 47 мкФ ± 10 %</t>
  </si>
  <si>
    <t>К73-87 - 63 В - 18 мкФ ± 10 % - D.5</t>
  </si>
  <si>
    <t>ОСМ Р1-8МП - 0,125 - 68,1 кОм ± 1 % - Л - А - М</t>
  </si>
  <si>
    <t>ОСМ Р1-8МП - 0,125 - 44,2 кОм ± 1 % - Л - А - М</t>
  </si>
  <si>
    <t>ОСМ Р1-8В - 0,1 - 10 Ом ± 5 % - Т - А - М</t>
  </si>
  <si>
    <t>ОСМ Р1-8МП - 0,25 - 22,6 кОм ± 1 % - Л - А - М</t>
  </si>
  <si>
    <t>ОСМ Р1-8МП - 0,25 - 150 Ом ± 1 % - Л - А - М</t>
  </si>
  <si>
    <t>ОСМ Р1-8МП - 0,125 - 4,42 кОм ± 1 % - Л - А - М</t>
  </si>
  <si>
    <t>ОСМ Р1-8МП - 0,125 - 2,05 кОм ± 1 % - Л - А - М</t>
  </si>
  <si>
    <t>ОСМ Р1-8МП - 0,125 - 1,5 кОм ± 1 % - Л - А - М</t>
  </si>
  <si>
    <t>ОСМ Р1-8МП - 0,125 - 10 кОм ± 1 % - Л - А - М</t>
  </si>
  <si>
    <t>ОСМ Р1-8МП - 0,125 - 30,1 кОм ± 1 % - Л - А - М</t>
  </si>
  <si>
    <t>ОСМ Р1-8МП - 0,125 - 51,1 Ом ± 1 % - Л - А - М</t>
  </si>
  <si>
    <t>ОСМ Р1-8В - 0,25 - 15 кОм ± 5 % - Т - А - М</t>
  </si>
  <si>
    <t>ОСМ Р1-8В - 0,25 - 2,2 Ом ± 5 % - Т - А - М</t>
  </si>
  <si>
    <t>ОСМ Р1-8МП - 0,125 - 6,81 кОм ± 1 % - Л - А - М</t>
  </si>
  <si>
    <t>ОСМ Р1-8МП - 0,125 - 4,64 кОм ± 1 % - Л - А - М</t>
  </si>
  <si>
    <t>ОСМ Р1-8МП - 0,25 - 100 Ом ± 1 % - Л - А - М</t>
  </si>
  <si>
    <t>ОСМ Р1-8МП - 0,125 - 909 Ом ± 1 % - Л - А - М</t>
  </si>
  <si>
    <t>ОСМ Р1-8МП - 0,125 - 9,09 кОм ± 1 % - Л - А - М</t>
  </si>
  <si>
    <t>ОСМ Р1-8МП - 0,25 - 33,2 кОм ± 1 % - Л - А - М</t>
  </si>
  <si>
    <t>ОСМ Р1-8МП - 0,125 - 33,2 кОм ± 1 % - Л - А - М</t>
  </si>
  <si>
    <t>ОСМ Р1-8В - 0,125 - 10 Ом ± 5 % - Т - А - М</t>
  </si>
  <si>
    <t>ОСМ Р1-8В - 0,125 - 4,7 Ом ± 5 % - Т - А - М</t>
  </si>
  <si>
    <t>ОСМ Р1-8МП - 0,125 - 15 Ом ± 1 % - Л - А - М</t>
  </si>
  <si>
    <t>ОСМ Р1-8МП - 0,5 - 100 Ом ± 1 % - Л - А - М</t>
  </si>
  <si>
    <t>ОСМ Р1-8В - 0,5 - 1,8 Ом ± 5 % - Т - А - М</t>
  </si>
  <si>
    <t>ОСМ Р1-8МП - 1 - 33,2 Ом ± 1 % - Л - А - М</t>
  </si>
  <si>
    <t>ОСМ Р1-8В - 0,25 - 1 Ом ± 5 % - Т - А - М</t>
  </si>
  <si>
    <t>ОСМ Р1-8МП - 0,125 - 41,2 кОм ± 1 % - Л - А - М</t>
  </si>
  <si>
    <t>ОСМ Р1-8МП - 0,1 - 2,05 кОм ± 1 % - Л - А</t>
  </si>
  <si>
    <t>ОСМ Р1-8МП - 0,1 - 10 кОм ± 1 % - Л - А</t>
  </si>
  <si>
    <t>Для расчета эксплуатационной интенсивности отказов на этапе эксплуатации для конденсаторов используются сведения из п. 4.5.1.1 АЖЯР.673546.008 ТУ.</t>
  </si>
  <si>
    <t>эксплуататционная интенсивность отказов в облегченном режиме работы из ТУ (п. 4.5.1.1 на л.30 АЖЯР.673633.017 ТУ)</t>
  </si>
  <si>
    <t>Для расчета эксплуатационной интенсивности отказов на этапе эксплуатации для конденсаторов используются сведения из п. 4.5.1.1 АЖЯР.673633.017 ТУ.</t>
  </si>
  <si>
    <t>ОСМ Р1-8МП - 0,125 - 1 кОм ± 1 % - Л - А - М</t>
  </si>
  <si>
    <t>1319ЕУ6У   АЕЯР.431420.736 ТУ</t>
  </si>
  <si>
    <t>1319ЕУ6У</t>
  </si>
  <si>
    <t>Для расчета эксплуатационной интенсивности отказов на этапе эксплуатации для дросселей Д372 используются сведения из п. 4.5.1.1 ЕСКФ.670130.003 ТУ.</t>
  </si>
  <si>
    <t>эксплуататционная интенсивность отказов (п. 4.5.1.1 ЕСКФ.670130.003 ТУ)</t>
  </si>
  <si>
    <t>Д372-13-10    ЕСКФ.670130.003 ТУ</t>
  </si>
  <si>
    <t>Д372-3-0,47    ЕСКФ.670130.003 ТУ</t>
  </si>
  <si>
    <t xml:space="preserve">Для расчета эксплуатационной интенсивности отказов на этапе эксплуатации для дросселя Ш1713 ДЧ ИВЯФ.671331.195 используется модель 2.  </t>
  </si>
  <si>
    <t>Ш1713 ДЧ  ИВЯФ.671331.195</t>
  </si>
  <si>
    <t>Ш3723 ТЧ  ИВЯФ.671121.427</t>
  </si>
  <si>
    <t>Ш1713 ТЧ  ИВЯФ.671121.372</t>
  </si>
  <si>
    <t>Ш3723 ТЧ  ИВЯФ.671121.438</t>
  </si>
  <si>
    <t>Для расчета эксплуатационной интенсивности отказов на этапе эксплуатации для трансформаторов Ш3723ТЧ, Ш1713ТЧ используется модель 2</t>
  </si>
  <si>
    <t>V11</t>
  </si>
  <si>
    <t>V16</t>
  </si>
  <si>
    <t>Для расчета эксплуатационной интенсивности отказов на этапе эксплуатации для диода 2Д814А1 используются сведения из п. 4.5.1.2 АЕЯР.432120.340 ТУ.</t>
  </si>
  <si>
    <t>2Д717А9  АЕЯР.432120.641 ТУ</t>
  </si>
  <si>
    <t>Для расчета эксплуатационной интенсивности отказов на этапе эксплуатации для диодов 2Д717А9, 2ДШ207А91, 2ДШ152А91 и диодных сборок 2ДШ2150АС9, 2ДШ202БС9 используется модель 2</t>
  </si>
  <si>
    <t>D8</t>
  </si>
  <si>
    <t>1467УД3У   АЕЯР.431000.257-05 ТУ</t>
  </si>
  <si>
    <t>1467УД3У</t>
  </si>
  <si>
    <t>V9</t>
  </si>
  <si>
    <t>V10</t>
  </si>
  <si>
    <t>V12</t>
  </si>
  <si>
    <t>V13</t>
  </si>
  <si>
    <t>D6</t>
  </si>
  <si>
    <t>D7</t>
  </si>
  <si>
    <t xml:space="preserve">Для расчета эксплуатационной интенсивности отказов на этапе эксплуатации для диодных сборок 2ДШ2150АС9, 2ДШ202БС9 используется модель 2.  </t>
  </si>
  <si>
    <t>2ДШ202БС9  АЕЯР.432120.696 ТУ</t>
  </si>
  <si>
    <t>2ДШ2150АС9  АЕЯР.432120.560 ТУ</t>
  </si>
  <si>
    <t>V5</t>
  </si>
  <si>
    <t>V14</t>
  </si>
  <si>
    <t>V15</t>
  </si>
  <si>
    <t>2ПЕ208В9  АЕЯР.432140.747 ТУ</t>
  </si>
  <si>
    <t>2П525А9  АЕЯР.432140.576 ТУ</t>
  </si>
  <si>
    <t>2ПЕ213Б9  АЕЯР.432140.749 ТУ</t>
  </si>
  <si>
    <t>Для расчета эксплуатационной интенсивности отказов на этапе эксплуатации для транзисторов 2ПЕ208В9, 2П525А9, 2ПЕ213Б9 используется модель 2</t>
  </si>
  <si>
    <t>Стабилитроны</t>
  </si>
  <si>
    <t>2С487Л  АЕЯР.432120.588 ТУ</t>
  </si>
  <si>
    <t xml:space="preserve">Для расчета эксплуатационной интенсивности отказов на этапе эксплуатации для диода 2С487Л используется модель 2.  </t>
  </si>
  <si>
    <t>V3</t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</si>
  <si>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GOST type A"/>
        <family val="2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Arial"/>
        <family val="2"/>
        <charset val="204"/>
      </rPr>
      <t>стабилизатор=</t>
    </r>
  </si>
  <si>
    <t>интенсивность отказов из ТУ (рис.9 АЕЯР.431000.257-05 для tкр=35 °С)</t>
  </si>
  <si>
    <t>Результаты расчета интенсивности отказов элементов корпуса ТУМ-C10</t>
  </si>
  <si>
    <t>Z1-Z12</t>
  </si>
  <si>
    <t>Для расчета эксплуатационной интенсивности отказов на этапе эксплуатации для вентилей ФПВН3-521-3,4А используем данные из п. 4.5.1.1 ЕСКФ.430441.061 ТУ.</t>
  </si>
  <si>
    <t>экплуатационная интенсивность отказов</t>
  </si>
  <si>
    <t>интенсивность отказов из ЕСКФ.430441.061 ТУ (п.4.5.1.1)</t>
  </si>
  <si>
    <t>W1</t>
  </si>
  <si>
    <t>W2</t>
  </si>
  <si>
    <t>ФПВН3-521-3,4А   ЕСКФ.430441.061 ТУ</t>
  </si>
  <si>
    <t>Результаты расчета интенсивности отказов элементов прибора  ТУМ-C10</t>
  </si>
  <si>
    <t>Суммарная интенсивность отказов элементов корпуса ТУМ-C10 на этапе эксплуатации</t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</si>
  <si>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GOST type A"/>
        <family val="2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Arial"/>
        <family val="2"/>
        <charset val="204"/>
      </rPr>
      <t>ТУМ-C10=</t>
    </r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</si>
  <si>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э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Calibri"/>
        <family val="2"/>
        <charset val="204"/>
        <scheme val="minor"/>
      </rPr>
      <t>АРМ=</t>
    </r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</si>
  <si>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э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Calibri"/>
        <family val="2"/>
        <charset val="204"/>
        <scheme val="minor"/>
      </rPr>
      <t>Детектор=</t>
    </r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</si>
  <si>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э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Calibri"/>
        <family val="2"/>
        <charset val="204"/>
        <scheme val="minor"/>
      </rPr>
      <t>Усилитель 1=</t>
    </r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</si>
  <si>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э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Calibri"/>
        <family val="2"/>
        <charset val="204"/>
        <scheme val="minor"/>
      </rPr>
      <t>Усилитель 4=</t>
    </r>
  </si>
  <si>
    <t>Суммарная интенсивность отказов элементов узла Стабилизатор на этапе эксплуатации</t>
  </si>
  <si>
    <t>Суммарная интенсивность отказов элементов узла Детектор на этапе эксплуатации</t>
  </si>
  <si>
    <t>Суммарная интенсивность отказов элементов узла АРМ на этапе эксплуатации</t>
  </si>
  <si>
    <t>Суммарная интенсивность отказов элементов узла Усилитель-4 на этапе эксплуатации</t>
  </si>
  <si>
    <t>Суммарная интенсивность отказов элементов узла Усилитель 2-3 на этапе эксплуатации</t>
  </si>
  <si>
    <t>Суммарная интенсивность отказов элементов узла Усилитель-1 на этапе эксплуатации</t>
  </si>
  <si>
    <t>Суммарная интенсивность отказов элементов узла Аттенюатор на этапе эксплуатации</t>
  </si>
  <si>
    <r>
      <rPr>
        <b/>
        <sz val="10"/>
        <color theme="1"/>
        <rFont val="Symbol"/>
        <family val="1"/>
        <charset val="2"/>
      </rPr>
      <t>l</t>
    </r>
    <r>
      <rPr>
        <b/>
        <sz val="10"/>
        <color theme="1"/>
        <rFont val="э"/>
        <charset val="204"/>
      </rPr>
      <t>э</t>
    </r>
    <r>
      <rPr>
        <b/>
        <sz val="10"/>
        <color theme="1"/>
        <rFont val="Symbol"/>
        <family val="1"/>
        <charset val="2"/>
      </rPr>
      <t>S</t>
    </r>
    <r>
      <rPr>
        <b/>
        <sz val="10"/>
        <color theme="1"/>
        <rFont val="Calibri"/>
        <family val="2"/>
        <charset val="204"/>
        <scheme val="minor"/>
      </rPr>
      <t>ТУМкорп=</t>
    </r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</si>
  <si>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GOST type A"/>
        <family val="2"/>
        <charset val="204"/>
      </rPr>
      <t>э</t>
    </r>
    <r>
      <rPr>
        <b/>
        <sz val="11"/>
        <color theme="1"/>
        <rFont val="Symbol"/>
        <family val="1"/>
        <charset val="2"/>
      </rPr>
      <t xml:space="preserve">S </t>
    </r>
    <r>
      <rPr>
        <b/>
        <sz val="9"/>
        <color theme="1"/>
        <rFont val="Arial"/>
        <family val="2"/>
        <charset val="204"/>
      </rPr>
      <t>ТУМкорп</t>
    </r>
    <r>
      <rPr>
        <b/>
        <sz val="11"/>
        <color theme="1"/>
        <rFont val="Calibri"/>
        <family val="2"/>
        <charset val="204"/>
        <scheme val="minor"/>
      </rPr>
      <t>=</t>
    </r>
  </si>
  <si>
    <t>ВБР прибора ТУМ-C10 за САС 10 лет (87600 ч)</t>
  </si>
  <si>
    <r>
      <rPr>
        <b/>
        <sz val="12"/>
        <color theme="1"/>
        <rFont val="Arial"/>
        <family val="2"/>
        <charset val="204"/>
      </rPr>
      <t>P</t>
    </r>
    <r>
      <rPr>
        <b/>
        <sz val="8"/>
        <color theme="1"/>
        <rFont val="Arial"/>
        <family val="2"/>
        <charset val="204"/>
      </rPr>
      <t>ТУМ-C10</t>
    </r>
    <r>
      <rPr>
        <b/>
        <sz val="11"/>
        <color theme="1"/>
        <rFont val="Calibri"/>
        <family val="2"/>
        <charset val="204"/>
        <scheme val="minor"/>
      </rPr>
      <t>=</t>
    </r>
  </si>
  <si>
    <t>ВБР прибора ТУМ-C10 за САС 15 лет (131400 ч)</t>
  </si>
  <si>
    <t>ВБР прибора ТУМ-C10 за САС 500 ч</t>
  </si>
  <si>
    <t>ВБР прибора ТУМ-C10 за САС 25 ч</t>
  </si>
  <si>
    <t>Суммарная интенсивность отказов  прибора ТУМ-C10 на этапе эксплуатации</t>
  </si>
  <si>
    <t xml:space="preserve">Для расчета эксплуатационной интенсивности отказов на этапе эксплуатации для транзисторов 6П9165A4, 6П9163Б2 используем данные из АЕЯР.432140.877 ТУ;  </t>
  </si>
  <si>
    <t>Для расчета эксплуатационной интенсивности отказов на этапе эксплуатации для транзисторов 6П9163А2 используем данные из АЕЯР.432140.877 ТУ.</t>
  </si>
  <si>
    <r>
      <t>эксплуатационная интенсивность отказов при T</t>
    </r>
    <r>
      <rPr>
        <sz val="8"/>
        <color theme="1"/>
        <rFont val="Arial"/>
        <family val="2"/>
        <charset val="204"/>
      </rPr>
      <t>корп</t>
    </r>
    <r>
      <rPr>
        <sz val="9"/>
        <color theme="1"/>
        <rFont val="Arial"/>
        <family val="2"/>
        <charset val="204"/>
      </rPr>
      <t xml:space="preserve"> = 45 °С (рис. Д.83 АЕЯР.432140.877 ТУ)</t>
    </r>
  </si>
  <si>
    <t>6П9163А2</t>
  </si>
  <si>
    <t>6П9165А4</t>
  </si>
  <si>
    <t>6П9163Б2</t>
  </si>
  <si>
    <r>
      <t>эксплуатационная интенсивность отказов при T</t>
    </r>
    <r>
      <rPr>
        <sz val="8"/>
        <color theme="1"/>
        <rFont val="Arial"/>
        <family val="2"/>
        <charset val="204"/>
      </rPr>
      <t>корп</t>
    </r>
    <r>
      <rPr>
        <sz val="9"/>
        <color theme="1"/>
        <rFont val="Arial"/>
        <family val="2"/>
        <charset val="204"/>
      </rPr>
      <t xml:space="preserve"> = 35 °С (рис. Д.85 АЕЯР.432140.877 ТУ)</t>
    </r>
  </si>
  <si>
    <t xml:space="preserve">Для расчета эксплуатационной интенсивности отказов на этапе эксплуатации для диодов СВЧ 2А153А используем сведения из п.4.5.1.3 АЕЯР.432130.805 ТУ. </t>
  </si>
  <si>
    <t>интенсивность отказов по п.4.5.1.3 АЕЯР.432130.805 ТУ (рис. В.1 приложения В)</t>
  </si>
  <si>
    <t>Тгамма при гамма=99,9% равно 150000 ч</t>
  </si>
  <si>
    <t>Для Tкорп = 30 °С Тгамма при гамма=95% равно 25000000 ч</t>
  </si>
  <si>
    <t>интенсивность отказов из ТУ (рис.2  АЕЯР.431420.742 ТУ для tкр=40 °С)</t>
  </si>
  <si>
    <t>интенсивность отказов из ТУ (рис.62 АЕЯР.431420.736 ТУ для tкр=35 °С)</t>
  </si>
  <si>
    <t>Для расчета эксплуатационной интенсивности отказов на этапе эксплуатации для микросхем 1319ЕУ6У, 1156ЕУ2АТ используются сведения из технических условий.</t>
  </si>
  <si>
    <r>
      <t>эксплуатационная интенсивность отказов при T</t>
    </r>
    <r>
      <rPr>
        <sz val="8"/>
        <color theme="1"/>
        <rFont val="Arial"/>
        <family val="2"/>
        <charset val="204"/>
      </rPr>
      <t>корп</t>
    </r>
    <r>
      <rPr>
        <sz val="9"/>
        <color theme="1"/>
        <rFont val="Arial"/>
        <family val="2"/>
        <charset val="204"/>
      </rPr>
      <t xml:space="preserve"> = 30 °С (рис. Д.91 АЕЯР.432140.877 ТУ)</t>
    </r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</si>
  <si>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GOST type A"/>
        <family val="2"/>
        <charset val="204"/>
      </rPr>
      <t>э</t>
    </r>
    <r>
      <rPr>
        <b/>
        <sz val="11"/>
        <color theme="1"/>
        <rFont val="Symbol"/>
        <family val="1"/>
        <charset val="2"/>
      </rPr>
      <t>S</t>
    </r>
    <r>
      <rPr>
        <b/>
        <sz val="9"/>
        <color theme="1"/>
        <rFont val="Arial"/>
        <family val="2"/>
        <charset val="204"/>
      </rPr>
      <t>Усилитель 4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</si>
  <si>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GOST type A"/>
        <family val="2"/>
        <charset val="204"/>
      </rPr>
      <t>э</t>
    </r>
    <r>
      <rPr>
        <b/>
        <sz val="11"/>
        <color theme="1"/>
        <rFont val="Symbol"/>
        <family val="1"/>
        <charset val="2"/>
      </rPr>
      <t>S</t>
    </r>
    <r>
      <rPr>
        <b/>
        <sz val="9"/>
        <color theme="1"/>
        <rFont val="Arial"/>
        <family val="2"/>
        <charset val="204"/>
      </rPr>
      <t>Усилитель 1</t>
    </r>
    <r>
      <rPr>
        <b/>
        <sz val="11"/>
        <color theme="1"/>
        <rFont val="Calibri"/>
        <family val="2"/>
        <charset val="204"/>
        <scheme val="minor"/>
      </rPr>
      <t>=</t>
    </r>
  </si>
  <si>
    <t xml:space="preserve">элемент регулировочный - в расчете не учитывается </t>
  </si>
  <si>
    <t>ОС К53-68 «С» – 25 В – 10 мкФ ± 10%</t>
  </si>
  <si>
    <r>
      <t xml:space="preserve">ОС К53-68 «С» – 25 В – 10 мкФ </t>
    </r>
    <r>
      <rPr>
        <sz val="10"/>
        <color theme="1"/>
        <rFont val="Arial"/>
        <family val="2"/>
        <charset val="204"/>
      </rPr>
      <t>+- 10%</t>
    </r>
  </si>
  <si>
    <t>интенсивность отказов из ТУ (п.6.2.3 АЕЯР.431000.760-30 ТУ для tкорп=35 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</si>
</sst>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E+00"/>
    <numFmt numFmtId="165" formatCode="0.000E+00"/>
    <numFmt numFmtId="166" formatCode="0.000%"/>
    <numFmt numFmtId="167" formatCode="0.00000E+00"/>
    <numFmt numFmtId="168" formatCode="0.000"/>
    <numFmt numFmtId="169" formatCode="0.00000"/>
  </numFmts>
  <fonts count="45">
    <font>
      <sz val="11"/>
      <color theme="1"/>
      <name val="Calibri"/>
      <family val="2"/>
      <charset val="204"/>
      <scheme val="minor"/>
    </font>
    <font>
      <i/>
      <sz val="10"/>
      <color theme="1"/>
      <name val="GOST type A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Symbol"/>
      <family val="1"/>
      <charset val="2"/>
    </font>
    <font>
      <sz val="10"/>
      <color theme="1"/>
      <name val="GOST type A"/>
      <family val="2"/>
      <charset val="204"/>
    </font>
    <font>
      <i/>
      <sz val="10"/>
      <name val="GOST type A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GOST type 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Symbol"/>
      <family val="1"/>
      <charset val="2"/>
    </font>
    <font>
      <b/>
      <sz val="10"/>
      <color theme="1"/>
      <name val="GOST type A"/>
      <family val="2"/>
      <charset val="204"/>
    </font>
    <font>
      <b/>
      <sz val="11"/>
      <color theme="1"/>
      <name val="Symbol"/>
      <family val="1"/>
      <charset val="2"/>
    </font>
    <font>
      <b/>
      <sz val="11"/>
      <color theme="1"/>
      <name val="GOST type A"/>
      <family val="2"/>
      <charset val="204"/>
    </font>
    <font>
      <sz val="8.5"/>
      <color theme="1"/>
      <name val="GOST type A"/>
      <family val="2"/>
      <charset val="204"/>
    </font>
    <font>
      <i/>
      <sz val="8"/>
      <color theme="1"/>
      <name val="Arial"/>
      <family val="2"/>
      <charset val="204"/>
    </font>
    <font>
      <sz val="9"/>
      <color theme="1"/>
      <name val="GOST type A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i/>
      <sz val="9"/>
      <name val="Arial"/>
      <family val="2"/>
      <charset val="204"/>
    </font>
    <font>
      <sz val="8"/>
      <color theme="1"/>
      <name val="GOST type 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1"/>
      <charset val="2"/>
      <scheme val="minor"/>
    </font>
    <font>
      <i/>
      <sz val="9"/>
      <color theme="1"/>
      <name val="GOST type A"/>
      <family val="2"/>
      <charset val="204"/>
    </font>
    <font>
      <b/>
      <sz val="10"/>
      <color theme="1"/>
      <name val="Calibri"/>
      <family val="1"/>
      <charset val="2"/>
      <scheme val="minor"/>
    </font>
    <font>
      <b/>
      <sz val="10"/>
      <color theme="1"/>
      <name val="э"/>
      <charset val="204"/>
    </font>
    <font>
      <sz val="9"/>
      <name val="Arial"/>
      <family val="2"/>
      <charset val="204"/>
    </font>
    <font>
      <b/>
      <sz val="10"/>
      <color theme="1"/>
      <name val="Calibri"/>
      <family val="1"/>
      <charset val="2"/>
    </font>
    <font>
      <i/>
      <sz val="8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sz val="10"/>
      <name val="GOST type A"/>
      <family val="2"/>
      <charset val="204"/>
    </font>
    <font>
      <b/>
      <sz val="10"/>
      <color theme="1"/>
      <name val="Calibri"/>
      <family val="2"/>
      <charset val="204"/>
    </font>
    <font>
      <b/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0"/>
      <color theme="1"/>
      <name val="GOST type A"/>
      <charset val="204"/>
    </font>
    <font>
      <sz val="8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1" fontId="11" fillId="6" borderId="2" xfId="0" applyNumberFormat="1" applyFont="1" applyFill="1" applyBorder="1" applyAlignment="1">
      <alignment horizontal="center" vertical="center"/>
    </xf>
    <xf numFmtId="11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1" fontId="8" fillId="0" borderId="0" xfId="0" applyNumberFormat="1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1" fontId="8" fillId="4" borderId="2" xfId="0" applyNumberFormat="1" applyFont="1" applyFill="1" applyBorder="1" applyAlignment="1">
      <alignment horizontal="center" vertical="center"/>
    </xf>
    <xf numFmtId="11" fontId="8" fillId="0" borderId="2" xfId="0" applyNumberFormat="1" applyFont="1" applyBorder="1" applyAlignment="1">
      <alignment horizontal="center" vertical="center"/>
    </xf>
    <xf numFmtId="0" fontId="8" fillId="0" borderId="2" xfId="0" applyFont="1" applyBorder="1"/>
    <xf numFmtId="0" fontId="16" fillId="0" borderId="2" xfId="0" applyFont="1" applyBorder="1"/>
    <xf numFmtId="0" fontId="17" fillId="3" borderId="2" xfId="0" applyFont="1" applyFill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horizontal="right"/>
    </xf>
    <xf numFmtId="11" fontId="15" fillId="4" borderId="1" xfId="0" applyNumberFormat="1" applyFont="1" applyFill="1" applyBorder="1"/>
    <xf numFmtId="0" fontId="19" fillId="0" borderId="0" xfId="0" applyFont="1" applyAlignment="1">
      <alignment horizontal="right" vertical="center"/>
    </xf>
    <xf numFmtId="0" fontId="18" fillId="0" borderId="0" xfId="0" applyFont="1"/>
    <xf numFmtId="11" fontId="8" fillId="4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3" fillId="5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25" fillId="5" borderId="2" xfId="0" applyFont="1" applyFill="1" applyBorder="1" applyAlignment="1">
      <alignment horizontal="center" vertical="center" wrapText="1"/>
    </xf>
    <xf numFmtId="0" fontId="16" fillId="0" borderId="3" xfId="0" applyFont="1" applyBorder="1"/>
    <xf numFmtId="165" fontId="0" fillId="0" borderId="0" xfId="0" applyNumberFormat="1"/>
    <xf numFmtId="1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165" fontId="15" fillId="4" borderId="1" xfId="0" applyNumberFormat="1" applyFont="1" applyFill="1" applyBorder="1"/>
    <xf numFmtId="0" fontId="18" fillId="0" borderId="0" xfId="0" applyFont="1" applyAlignment="1">
      <alignment vertical="center"/>
    </xf>
    <xf numFmtId="0" fontId="27" fillId="0" borderId="0" xfId="0" applyFont="1"/>
    <xf numFmtId="11" fontId="13" fillId="4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166" fontId="8" fillId="0" borderId="0" xfId="0" applyNumberFormat="1" applyFont="1"/>
    <xf numFmtId="0" fontId="29" fillId="5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27" fillId="0" borderId="2" xfId="0" applyFont="1" applyBorder="1" applyAlignment="1">
      <alignment wrapText="1"/>
    </xf>
    <xf numFmtId="0" fontId="13" fillId="3" borderId="5" xfId="0" applyFont="1" applyFill="1" applyBorder="1" applyAlignment="1">
      <alignment horizont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31" fillId="0" borderId="0" xfId="0" applyFont="1" applyAlignment="1">
      <alignment horizontal="right"/>
    </xf>
    <xf numFmtId="0" fontId="32" fillId="5" borderId="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wrapText="1"/>
    </xf>
    <xf numFmtId="11" fontId="8" fillId="0" borderId="2" xfId="0" applyNumberFormat="1" applyFont="1" applyBorder="1"/>
    <xf numFmtId="0" fontId="28" fillId="2" borderId="4" xfId="0" applyFont="1" applyFill="1" applyBorder="1" applyAlignment="1">
      <alignment horizontal="center" wrapText="1"/>
    </xf>
    <xf numFmtId="165" fontId="8" fillId="4" borderId="2" xfId="0" applyNumberFormat="1" applyFont="1" applyFill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5" fontId="8" fillId="4" borderId="2" xfId="0" applyNumberFormat="1" applyFont="1" applyFill="1" applyBorder="1" applyAlignment="1">
      <alignment horizontal="center"/>
    </xf>
    <xf numFmtId="165" fontId="13" fillId="0" borderId="2" xfId="0" applyNumberFormat="1" applyFont="1" applyBorder="1" applyAlignment="1">
      <alignment horizontal="center" vertical="center"/>
    </xf>
    <xf numFmtId="164" fontId="15" fillId="4" borderId="1" xfId="0" applyNumberFormat="1" applyFont="1" applyFill="1" applyBorder="1"/>
    <xf numFmtId="165" fontId="15" fillId="4" borderId="2" xfId="0" applyNumberFormat="1" applyFont="1" applyFill="1" applyBorder="1"/>
    <xf numFmtId="0" fontId="12" fillId="2" borderId="4" xfId="0" applyFont="1" applyFill="1" applyBorder="1" applyAlignment="1">
      <alignment horizontal="center" wrapText="1"/>
    </xf>
    <xf numFmtId="0" fontId="28" fillId="8" borderId="2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167" fontId="15" fillId="4" borderId="1" xfId="0" applyNumberFormat="1" applyFont="1" applyFill="1" applyBorder="1"/>
    <xf numFmtId="0" fontId="35" fillId="3" borderId="2" xfId="0" applyFont="1" applyFill="1" applyBorder="1" applyAlignment="1">
      <alignment horizontal="center" vertical="center" wrapText="1"/>
    </xf>
    <xf numFmtId="11" fontId="15" fillId="0" borderId="0" xfId="0" applyNumberFormat="1" applyFont="1"/>
    <xf numFmtId="164" fontId="0" fillId="0" borderId="0" xfId="0" applyNumberFormat="1"/>
    <xf numFmtId="167" fontId="26" fillId="0" borderId="0" xfId="0" applyNumberFormat="1" applyFont="1"/>
    <xf numFmtId="167" fontId="26" fillId="0" borderId="0" xfId="0" applyNumberFormat="1" applyFont="1" applyAlignment="1">
      <alignment horizontal="right"/>
    </xf>
    <xf numFmtId="11" fontId="10" fillId="6" borderId="2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wrapText="1"/>
    </xf>
    <xf numFmtId="165" fontId="18" fillId="0" borderId="0" xfId="0" applyNumberFormat="1" applyFont="1" applyAlignment="1">
      <alignment horizontal="right"/>
    </xf>
    <xf numFmtId="0" fontId="13" fillId="3" borderId="3" xfId="0" applyFont="1" applyFill="1" applyBorder="1" applyAlignment="1">
      <alignment horizontal="center" vertical="center" wrapText="1"/>
    </xf>
    <xf numFmtId="165" fontId="8" fillId="4" borderId="3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right"/>
    </xf>
    <xf numFmtId="164" fontId="15" fillId="4" borderId="1" xfId="0" applyNumberFormat="1" applyFont="1" applyFill="1" applyBorder="1" applyAlignment="1">
      <alignment vertical="center"/>
    </xf>
    <xf numFmtId="167" fontId="18" fillId="0" borderId="0" xfId="0" applyNumberFormat="1" applyFont="1" applyAlignment="1">
      <alignment horizontal="right"/>
    </xf>
    <xf numFmtId="164" fontId="15" fillId="4" borderId="2" xfId="0" applyNumberFormat="1" applyFont="1" applyFill="1" applyBorder="1"/>
    <xf numFmtId="165" fontId="15" fillId="0" borderId="0" xfId="0" applyNumberFormat="1" applyFont="1"/>
    <xf numFmtId="0" fontId="2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11" fontId="11" fillId="6" borderId="6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37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11" fontId="15" fillId="4" borderId="1" xfId="0" applyNumberFormat="1" applyFont="1" applyFill="1" applyBorder="1" applyAlignment="1">
      <alignment vertical="center"/>
    </xf>
    <xf numFmtId="165" fontId="15" fillId="4" borderId="1" xfId="0" applyNumberFormat="1" applyFont="1" applyFill="1" applyBorder="1" applyAlignment="1">
      <alignment vertical="center"/>
    </xf>
    <xf numFmtId="11" fontId="1" fillId="6" borderId="2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168" fontId="13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8" borderId="2" xfId="0" applyFont="1" applyFill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0" fontId="36" fillId="0" borderId="0" xfId="0" applyFont="1" applyAlignment="1">
      <alignment horizontal="right" vertical="center"/>
    </xf>
    <xf numFmtId="0" fontId="38" fillId="2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167" fontId="15" fillId="4" borderId="1" xfId="0" applyNumberFormat="1" applyFont="1" applyFill="1" applyBorder="1" applyAlignment="1">
      <alignment vertical="center"/>
    </xf>
    <xf numFmtId="0" fontId="40" fillId="0" borderId="0" xfId="0" applyFont="1" applyAlignment="1">
      <alignment horizontal="right" vertical="center"/>
    </xf>
    <xf numFmtId="169" fontId="15" fillId="0" borderId="0" xfId="0" applyNumberFormat="1" applyFont="1"/>
    <xf numFmtId="11" fontId="15" fillId="0" borderId="0" xfId="0" applyNumberFormat="1" applyFont="1" applyAlignment="1">
      <alignment horizontal="right" vertical="center"/>
    </xf>
    <xf numFmtId="0" fontId="43" fillId="2" borderId="2" xfId="0" applyFont="1" applyFill="1" applyBorder="1" applyAlignment="1">
      <alignment horizontal="center" vertical="center"/>
    </xf>
    <xf numFmtId="11" fontId="13" fillId="8" borderId="2" xfId="0" applyNumberFormat="1" applyFont="1" applyFill="1" applyBorder="1" applyAlignment="1">
      <alignment horizontal="center" vertical="center"/>
    </xf>
    <xf numFmtId="168" fontId="13" fillId="8" borderId="2" xfId="0" applyNumberFormat="1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8" fillId="8" borderId="2" xfId="0" applyFont="1" applyFill="1" applyBorder="1"/>
    <xf numFmtId="0" fontId="28" fillId="2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225"/>
  <sheetViews>
    <sheetView zoomScale="130" zoomScaleNormal="130" workbookViewId="0">
      <selection activeCell="B12" sqref="B12"/>
    </sheetView>
  </sheetViews>
  <sheetFormatPr defaultRowHeight="14.5"/>
  <cols>
    <col min="1" max="1" width="5.7265625" customWidth="1"/>
    <col min="2" max="2" width="34.26953125" customWidth="1"/>
    <col min="3" max="3" width="13.7265625" customWidth="1"/>
    <col min="4" max="10" width="9.7265625" customWidth="1"/>
    <col min="11" max="11" width="8.81640625" customWidth="1"/>
    <col min="12" max="13" width="5.7265625" customWidth="1"/>
    <col min="14" max="14" width="6.7265625" customWidth="1"/>
    <col min="15" max="17" width="5.7265625" customWidth="1"/>
  </cols>
  <sheetData>
    <row r="2" spans="1:17" ht="18" customHeight="1">
      <c r="A2" s="147" t="s">
        <v>452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1:17">
      <c r="A4" s="11" t="s">
        <v>25</v>
      </c>
      <c r="B4" s="11"/>
    </row>
    <row r="5" spans="1:17">
      <c r="A5" s="11" t="s">
        <v>26</v>
      </c>
      <c r="B5" s="11"/>
    </row>
    <row r="6" spans="1:17">
      <c r="A6" s="11" t="s">
        <v>291</v>
      </c>
      <c r="B6" s="11"/>
    </row>
    <row r="7" spans="1:17" ht="15" customHeight="1">
      <c r="A7" s="11"/>
      <c r="B7" s="11"/>
    </row>
    <row r="8" spans="1:17" ht="15" customHeight="1">
      <c r="A8" s="11"/>
      <c r="B8" s="11"/>
      <c r="C8" s="15"/>
    </row>
    <row r="9" spans="1:17" ht="15" customHeight="1"/>
    <row r="10" spans="1:17" ht="15" customHeight="1">
      <c r="A10" s="38"/>
      <c r="B10" s="136" t="s">
        <v>454</v>
      </c>
      <c r="C10" s="97">
        <f>SUM(C13:C20)</f>
        <v>4.5986970055999998E-7</v>
      </c>
      <c r="D10" s="137">
        <f>EXP(-C10*87600)</f>
        <v>0.96051605105390736</v>
      </c>
      <c r="E10" t="s">
        <v>473</v>
      </c>
    </row>
    <row r="11" spans="1:17" ht="15" customHeight="1"/>
    <row r="12" spans="1:17" ht="15" customHeight="1">
      <c r="A12" s="38"/>
    </row>
    <row r="13" spans="1:17" ht="15" customHeight="1">
      <c r="B13" s="128" t="s">
        <v>152</v>
      </c>
      <c r="C13" s="96">
        <f>Аттенюатор!E28</f>
        <v>2E-8</v>
      </c>
      <c r="D13" s="137">
        <f t="shared" ref="D13:D20" si="0">EXP(-C13*87600)</f>
        <v>0.99824953385609727</v>
      </c>
      <c r="E13" t="s">
        <v>465</v>
      </c>
    </row>
    <row r="14" spans="1:17" ht="15" customHeight="1">
      <c r="B14" s="76" t="s">
        <v>457</v>
      </c>
      <c r="C14" s="96">
        <f>'Усилитель 1'!$E$88</f>
        <v>2.0730396799999995E-8</v>
      </c>
      <c r="D14" s="137">
        <f t="shared" si="0"/>
        <v>0.99818566513934204</v>
      </c>
      <c r="E14" t="s">
        <v>464</v>
      </c>
    </row>
    <row r="15" spans="1:17" ht="15" customHeight="1">
      <c r="B15" s="76" t="s">
        <v>215</v>
      </c>
      <c r="C15" s="96">
        <f>'Усилитель 2-3'!$D$86</f>
        <v>4.3361980000000002E-8</v>
      </c>
      <c r="D15" s="137">
        <f t="shared" si="0"/>
        <v>0.99620869576310533</v>
      </c>
      <c r="E15" t="s">
        <v>463</v>
      </c>
    </row>
    <row r="16" spans="1:17" ht="15" customHeight="1">
      <c r="B16" s="76" t="s">
        <v>458</v>
      </c>
      <c r="C16" s="96">
        <f>'Усилитель 4'!$D$75</f>
        <v>3.5126631199999996E-8</v>
      </c>
      <c r="D16" s="137">
        <f t="shared" si="0"/>
        <v>0.99692763650504035</v>
      </c>
      <c r="E16" t="s">
        <v>462</v>
      </c>
    </row>
    <row r="17" spans="1:5" ht="15" customHeight="1">
      <c r="A17" s="38"/>
      <c r="B17" s="76" t="s">
        <v>455</v>
      </c>
      <c r="C17" s="96">
        <f>АРМ!$F$115</f>
        <v>2.8380555999999999E-8</v>
      </c>
      <c r="D17" s="137">
        <f t="shared" si="0"/>
        <v>0.99751695117276684</v>
      </c>
      <c r="E17" t="s">
        <v>461</v>
      </c>
    </row>
    <row r="18" spans="1:5" ht="15" customHeight="1">
      <c r="A18" s="11"/>
      <c r="B18" s="76" t="s">
        <v>456</v>
      </c>
      <c r="C18" s="96">
        <f>Детектор!$E$130</f>
        <v>3.5905118800000008E-8</v>
      </c>
      <c r="D18" s="137">
        <f t="shared" si="0"/>
        <v>0.99685965283080447</v>
      </c>
      <c r="E18" t="s">
        <v>460</v>
      </c>
    </row>
    <row r="19" spans="1:5" ht="15" customHeight="1">
      <c r="A19" s="11"/>
      <c r="B19" s="131" t="s">
        <v>442</v>
      </c>
      <c r="C19" s="96">
        <f>Стабилизатор!$F$365</f>
        <v>2.5948021775999998E-7</v>
      </c>
      <c r="D19" s="137">
        <f t="shared" si="0"/>
        <v>0.9775259236895335</v>
      </c>
      <c r="E19" t="s">
        <v>459</v>
      </c>
    </row>
    <row r="20" spans="1:5" ht="15" customHeight="1">
      <c r="A20" s="11"/>
      <c r="B20" s="76" t="s">
        <v>466</v>
      </c>
      <c r="C20" s="96">
        <f>'ТУМ-C10_Элементы корпуса'!$D$42</f>
        <v>1.6884799999999998E-8</v>
      </c>
      <c r="D20" s="137">
        <f t="shared" si="0"/>
        <v>0.99852198486182431</v>
      </c>
      <c r="E20" t="s">
        <v>453</v>
      </c>
    </row>
    <row r="21" spans="1:5" ht="15" customHeight="1">
      <c r="A21" s="11"/>
    </row>
    <row r="22" spans="1:5" ht="15" customHeight="1">
      <c r="A22" s="11"/>
      <c r="B22" s="71"/>
      <c r="C22" s="106"/>
    </row>
    <row r="23" spans="1:5" ht="15" customHeight="1">
      <c r="A23" s="11"/>
      <c r="B23" s="59" t="s">
        <v>469</v>
      </c>
      <c r="C23" s="137">
        <f>EXP(-C10*87600)</f>
        <v>0.96051605105390736</v>
      </c>
      <c r="E23" t="s">
        <v>468</v>
      </c>
    </row>
    <row r="24" spans="1:5" ht="15" customHeight="1">
      <c r="A24" s="11"/>
      <c r="B24" s="59" t="s">
        <v>469</v>
      </c>
      <c r="C24" s="137">
        <f>EXP(-C10*131400)</f>
        <v>0.94136260020265305</v>
      </c>
      <c r="E24" t="s">
        <v>470</v>
      </c>
    </row>
    <row r="25" spans="1:5" ht="15" customHeight="1">
      <c r="A25" s="11"/>
      <c r="B25" s="59" t="s">
        <v>469</v>
      </c>
      <c r="C25" s="137">
        <f>EXP(-C10*25)</f>
        <v>0.99998850332357325</v>
      </c>
      <c r="E25" t="s">
        <v>472</v>
      </c>
    </row>
    <row r="26" spans="1:5" ht="15" customHeight="1">
      <c r="A26" s="11"/>
      <c r="B26" s="59" t="s">
        <v>469</v>
      </c>
      <c r="C26" s="137">
        <f>EXP(-C10*500)</f>
        <v>0.99977009158271168</v>
      </c>
      <c r="E26" t="s">
        <v>471</v>
      </c>
    </row>
    <row r="27" spans="1:5" ht="15" customHeight="1">
      <c r="A27" s="11"/>
      <c r="B27" s="76"/>
      <c r="C27" s="101"/>
    </row>
    <row r="28" spans="1:5" ht="15" customHeight="1">
      <c r="A28" s="11"/>
      <c r="B28" s="11"/>
      <c r="C28" s="138"/>
    </row>
    <row r="29" spans="1:5" ht="15" customHeight="1">
      <c r="A29" s="11"/>
      <c r="B29" s="59"/>
      <c r="C29" s="137"/>
    </row>
    <row r="30" spans="1:5" ht="15" customHeight="1">
      <c r="A30" s="11"/>
      <c r="B30" s="11"/>
      <c r="C30" s="15"/>
    </row>
    <row r="31" spans="1:5" ht="15" customHeight="1">
      <c r="A31" s="11"/>
      <c r="B31" s="11"/>
      <c r="C31" s="15"/>
    </row>
    <row r="32" spans="1:5" ht="15" customHeight="1">
      <c r="A32" s="11"/>
      <c r="B32" s="11"/>
      <c r="C32" s="15"/>
    </row>
    <row r="33" spans="1:3" ht="15" customHeight="1">
      <c r="A33" s="11"/>
      <c r="B33" s="11"/>
      <c r="C33" s="15"/>
    </row>
    <row r="34" spans="1:3" ht="15" customHeight="1">
      <c r="A34" s="11"/>
      <c r="B34" s="11"/>
      <c r="C34" s="15"/>
    </row>
    <row r="35" spans="1:3" ht="15" customHeight="1">
      <c r="A35" s="11"/>
      <c r="B35" s="11"/>
      <c r="C35" s="15"/>
    </row>
    <row r="36" spans="1:3" ht="15" customHeight="1">
      <c r="A36" s="11"/>
      <c r="B36" s="11"/>
      <c r="C36" s="15"/>
    </row>
    <row r="37" spans="1:3" ht="15" customHeight="1">
      <c r="A37" s="11"/>
      <c r="B37" s="11"/>
      <c r="C37" s="15"/>
    </row>
    <row r="38" spans="1:3" ht="15" customHeight="1">
      <c r="A38" s="11"/>
      <c r="B38" s="11"/>
      <c r="C38" s="15"/>
    </row>
    <row r="39" spans="1:3" ht="15" customHeight="1">
      <c r="A39" s="11"/>
      <c r="B39" s="11"/>
      <c r="C39" s="15"/>
    </row>
    <row r="40" spans="1:3" ht="15" customHeight="1">
      <c r="A40" s="11"/>
      <c r="B40" s="11"/>
      <c r="C40" s="15"/>
    </row>
    <row r="41" spans="1:3" ht="15" customHeight="1">
      <c r="A41" s="11"/>
      <c r="B41" s="11"/>
      <c r="C41" s="15"/>
    </row>
    <row r="42" spans="1:3" ht="15" customHeight="1">
      <c r="A42" s="11"/>
      <c r="B42" s="11"/>
      <c r="C42" s="15"/>
    </row>
    <row r="43" spans="1:3" ht="15" customHeight="1">
      <c r="A43" s="11"/>
      <c r="B43" s="11"/>
      <c r="C43" s="15"/>
    </row>
    <row r="44" spans="1:3" ht="15" customHeight="1">
      <c r="A44" s="11"/>
      <c r="B44" s="11"/>
      <c r="C44" s="15"/>
    </row>
    <row r="45" spans="1:3" ht="15" customHeight="1">
      <c r="A45" s="11"/>
      <c r="B45" s="11"/>
      <c r="C45" s="15"/>
    </row>
    <row r="46" spans="1:3" ht="15" customHeight="1">
      <c r="A46" s="11"/>
      <c r="B46" s="11"/>
      <c r="C46" s="15"/>
    </row>
    <row r="47" spans="1:3" ht="15" customHeight="1">
      <c r="A47" s="11"/>
      <c r="B47" s="11"/>
      <c r="C47" s="15"/>
    </row>
    <row r="48" spans="1:3" ht="15" customHeight="1">
      <c r="A48" s="11"/>
      <c r="B48" s="11"/>
      <c r="C48" s="15"/>
    </row>
    <row r="49" spans="1:17" ht="15" customHeight="1">
      <c r="A49" s="11"/>
      <c r="B49" s="11"/>
      <c r="C49" s="15"/>
    </row>
    <row r="50" spans="1:17" ht="15" customHeight="1">
      <c r="A50" s="11"/>
      <c r="B50" s="11"/>
      <c r="C50" s="15"/>
    </row>
    <row r="51" spans="1:17" ht="15" customHeight="1">
      <c r="A51" s="11"/>
      <c r="B51" s="11"/>
      <c r="C51" s="15"/>
    </row>
    <row r="52" spans="1:17" ht="15" customHeight="1">
      <c r="A52" s="11"/>
      <c r="B52" s="11"/>
      <c r="C52" s="15"/>
    </row>
    <row r="53" spans="1:17">
      <c r="A53" s="11"/>
      <c r="B53" s="11"/>
      <c r="C53" s="15"/>
    </row>
    <row r="54" spans="1:17" ht="17.25" customHeight="1">
      <c r="A54" s="148" t="s">
        <v>27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</row>
    <row r="56" spans="1:17">
      <c r="A56" s="25" t="s">
        <v>45</v>
      </c>
      <c r="B56" s="25"/>
      <c r="C56" s="25"/>
      <c r="D56" s="25"/>
      <c r="E56" s="25"/>
      <c r="F56" s="11"/>
      <c r="G56" s="25"/>
    </row>
    <row r="57" spans="1:17">
      <c r="A57" s="11" t="s">
        <v>91</v>
      </c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</row>
    <row r="58" spans="1:17">
      <c r="A58" s="12"/>
      <c r="B58" s="11"/>
      <c r="C58" s="12"/>
      <c r="D58" s="12"/>
      <c r="E58" s="12"/>
      <c r="F58" s="12"/>
      <c r="G58" s="12"/>
      <c r="H58" s="12"/>
      <c r="I58" s="12"/>
      <c r="J58" s="12"/>
      <c r="K58" s="14"/>
      <c r="L58" s="15"/>
      <c r="M58" s="11"/>
    </row>
    <row r="59" spans="1:17">
      <c r="A59" s="7" t="s">
        <v>17</v>
      </c>
      <c r="B59" s="11" t="s">
        <v>3</v>
      </c>
      <c r="C59" s="12"/>
      <c r="G59" s="58" t="s">
        <v>122</v>
      </c>
      <c r="H59" s="34">
        <f>0.039*10^-6</f>
        <v>3.8999999999999998E-8</v>
      </c>
      <c r="I59" s="11" t="s">
        <v>123</v>
      </c>
      <c r="J59" s="11"/>
      <c r="K59" s="13"/>
      <c r="L59" s="11"/>
      <c r="M59" s="11"/>
      <c r="N59" s="11"/>
    </row>
    <row r="60" spans="1:17">
      <c r="A60" s="22" t="s">
        <v>4</v>
      </c>
      <c r="B60" s="11" t="s">
        <v>38</v>
      </c>
      <c r="C60" s="12"/>
      <c r="D60" s="12"/>
      <c r="E60" s="12"/>
      <c r="F60" s="12"/>
      <c r="G60" s="58" t="s">
        <v>124</v>
      </c>
      <c r="H60" s="34">
        <f>0.037*10^-6</f>
        <v>3.6999999999999994E-8</v>
      </c>
      <c r="I60" s="11" t="s">
        <v>123</v>
      </c>
      <c r="J60" s="11"/>
      <c r="K60" s="13"/>
      <c r="L60" s="11"/>
      <c r="M60" s="11"/>
      <c r="N60" s="11"/>
    </row>
    <row r="61" spans="1:17">
      <c r="A61" s="23" t="s">
        <v>19</v>
      </c>
      <c r="B61" s="11" t="s">
        <v>28</v>
      </c>
      <c r="C61" s="11"/>
      <c r="D61" s="12"/>
      <c r="E61" s="12"/>
      <c r="F61" s="12"/>
      <c r="G61" s="12"/>
      <c r="H61" s="12"/>
      <c r="I61" s="12"/>
      <c r="J61" s="12"/>
      <c r="K61" s="14"/>
      <c r="L61" s="15"/>
      <c r="M61" s="11"/>
    </row>
    <row r="62" spans="1:17">
      <c r="A62" s="23" t="s">
        <v>20</v>
      </c>
      <c r="B62" s="11" t="s">
        <v>29</v>
      </c>
      <c r="C62" s="11"/>
      <c r="D62" s="12"/>
      <c r="E62" s="12"/>
      <c r="F62" s="12"/>
      <c r="G62" s="12"/>
      <c r="H62" s="12"/>
      <c r="I62" s="12"/>
      <c r="J62" s="12"/>
      <c r="K62" s="14"/>
      <c r="L62" s="15"/>
      <c r="M62" s="11"/>
    </row>
    <row r="63" spans="1:17">
      <c r="A63" s="23" t="s">
        <v>21</v>
      </c>
      <c r="B63" s="11" t="s">
        <v>30</v>
      </c>
      <c r="C63" s="12"/>
      <c r="D63" s="12"/>
      <c r="E63" s="12"/>
      <c r="F63" s="12"/>
      <c r="G63" s="12"/>
      <c r="H63" s="12"/>
      <c r="I63" s="12"/>
      <c r="J63" s="12"/>
      <c r="K63" s="14"/>
      <c r="L63" s="15"/>
      <c r="M63" s="11"/>
    </row>
    <row r="64" spans="1:17">
      <c r="A64" s="22" t="s">
        <v>6</v>
      </c>
      <c r="B64" s="11" t="s">
        <v>32</v>
      </c>
      <c r="C64" s="12"/>
      <c r="D64" s="12"/>
      <c r="E64" s="12"/>
      <c r="F64" s="12"/>
      <c r="G64" s="11"/>
      <c r="H64" s="12"/>
      <c r="I64" s="12"/>
      <c r="J64" s="12"/>
      <c r="K64" s="14"/>
      <c r="L64" s="16"/>
      <c r="M64" s="12"/>
    </row>
    <row r="65" spans="1:17">
      <c r="A65" s="22" t="s">
        <v>31</v>
      </c>
      <c r="B65" s="11" t="s">
        <v>33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>
      <c r="A66" s="22" t="s">
        <v>7</v>
      </c>
      <c r="B66" s="11" t="s">
        <v>34</v>
      </c>
      <c r="C66" s="12"/>
      <c r="D66" s="12"/>
      <c r="G66" s="12"/>
      <c r="H66" s="12"/>
      <c r="I66" s="12"/>
      <c r="J66" s="12"/>
      <c r="K66" s="12"/>
    </row>
    <row r="67" spans="1:17">
      <c r="A67" s="22" t="s">
        <v>24</v>
      </c>
      <c r="B67" s="11" t="s">
        <v>35</v>
      </c>
      <c r="C67" s="12"/>
      <c r="D67" s="12"/>
      <c r="G67" s="12"/>
      <c r="H67" s="12"/>
      <c r="I67" s="12"/>
      <c r="J67" s="12"/>
      <c r="K67" s="12"/>
    </row>
    <row r="69" spans="1:17">
      <c r="A69" s="17" t="s">
        <v>0</v>
      </c>
      <c r="B69" s="17" t="s">
        <v>1</v>
      </c>
      <c r="C69" s="17" t="s">
        <v>2</v>
      </c>
      <c r="D69" s="18" t="s">
        <v>73</v>
      </c>
      <c r="E69" s="6" t="s">
        <v>14</v>
      </c>
      <c r="F69" s="6" t="s">
        <v>15</v>
      </c>
      <c r="G69" s="6" t="s">
        <v>17</v>
      </c>
      <c r="H69" s="17" t="s">
        <v>4</v>
      </c>
      <c r="I69" s="17" t="s">
        <v>19</v>
      </c>
      <c r="J69" s="17" t="s">
        <v>20</v>
      </c>
      <c r="K69" s="42" t="s">
        <v>21</v>
      </c>
      <c r="L69" s="17" t="s">
        <v>22</v>
      </c>
      <c r="M69" s="17" t="s">
        <v>23</v>
      </c>
      <c r="N69" s="19" t="s">
        <v>24</v>
      </c>
    </row>
    <row r="70" spans="1:17">
      <c r="A70" s="52">
        <v>1</v>
      </c>
      <c r="B70" s="21" t="s">
        <v>129</v>
      </c>
      <c r="C70" s="27">
        <v>33</v>
      </c>
      <c r="D70" s="40">
        <v>0.2</v>
      </c>
      <c r="E70" s="57">
        <f>C70*F70</f>
        <v>4.3675631999999995E-9</v>
      </c>
      <c r="F70" s="20">
        <f t="shared" ref="F70:F73" si="1">G70*H70*I70*J70*K70*L70*M70*N70</f>
        <v>1.3235039999999999E-10</v>
      </c>
      <c r="G70" s="45">
        <v>3.8999999999999998E-8</v>
      </c>
      <c r="H70" s="24">
        <v>0.40400000000000003</v>
      </c>
      <c r="I70" s="24">
        <v>1</v>
      </c>
      <c r="J70" s="24">
        <f>0.7</f>
        <v>0.7</v>
      </c>
      <c r="K70" s="24">
        <v>0.05</v>
      </c>
      <c r="L70" s="24">
        <v>4</v>
      </c>
      <c r="M70" s="24">
        <f>0.3</f>
        <v>0.3</v>
      </c>
      <c r="N70" s="24">
        <v>0.2</v>
      </c>
    </row>
    <row r="71" spans="1:17">
      <c r="A71" s="52">
        <v>2</v>
      </c>
      <c r="B71" s="21" t="s">
        <v>138</v>
      </c>
      <c r="C71" s="27">
        <v>26</v>
      </c>
      <c r="D71" s="40">
        <v>0.2</v>
      </c>
      <c r="E71" s="57">
        <f>C71*F71</f>
        <v>2.4087772799999995E-9</v>
      </c>
      <c r="F71" s="20">
        <f t="shared" si="1"/>
        <v>9.2645279999999987E-11</v>
      </c>
      <c r="G71" s="45">
        <v>3.8999999999999998E-8</v>
      </c>
      <c r="H71" s="24">
        <v>0.40400000000000003</v>
      </c>
      <c r="I71" s="24">
        <f>0.7</f>
        <v>0.7</v>
      </c>
      <c r="J71" s="24">
        <f t="shared" ref="J71:J73" si="2">0.7</f>
        <v>0.7</v>
      </c>
      <c r="K71" s="24">
        <v>0.05</v>
      </c>
      <c r="L71" s="24">
        <v>4</v>
      </c>
      <c r="M71" s="24">
        <f>0.3</f>
        <v>0.3</v>
      </c>
      <c r="N71" s="24">
        <v>0.2</v>
      </c>
    </row>
    <row r="72" spans="1:17">
      <c r="A72" s="52">
        <v>3</v>
      </c>
      <c r="B72" s="21" t="s">
        <v>127</v>
      </c>
      <c r="C72" s="27">
        <v>3</v>
      </c>
      <c r="D72" s="40">
        <v>0.2</v>
      </c>
      <c r="E72" s="57">
        <f>C72*F72</f>
        <v>7.9410239999999992E-10</v>
      </c>
      <c r="F72" s="20">
        <f t="shared" si="1"/>
        <v>2.6470079999999997E-10</v>
      </c>
      <c r="G72" s="45">
        <v>3.8999999999999998E-8</v>
      </c>
      <c r="H72" s="24">
        <v>0.40400000000000003</v>
      </c>
      <c r="I72" s="24">
        <v>2</v>
      </c>
      <c r="J72" s="24">
        <f t="shared" si="2"/>
        <v>0.7</v>
      </c>
      <c r="K72" s="24">
        <v>0.05</v>
      </c>
      <c r="L72" s="24">
        <v>4</v>
      </c>
      <c r="M72" s="24">
        <f>0.3</f>
        <v>0.3</v>
      </c>
      <c r="N72" s="24">
        <v>0.2</v>
      </c>
    </row>
    <row r="73" spans="1:17">
      <c r="A73" s="52">
        <v>4</v>
      </c>
      <c r="B73" s="21" t="s">
        <v>139</v>
      </c>
      <c r="C73" s="27">
        <v>4</v>
      </c>
      <c r="D73" s="40">
        <v>0.2</v>
      </c>
      <c r="E73" s="57">
        <f>C73*F73</f>
        <v>3.3483519999999996E-8</v>
      </c>
      <c r="F73" s="20">
        <f t="shared" si="1"/>
        <v>8.3708799999999991E-9</v>
      </c>
      <c r="G73" s="45">
        <v>3.6999999999999994E-8</v>
      </c>
      <c r="H73" s="24">
        <v>0.40400000000000003</v>
      </c>
      <c r="I73" s="24">
        <v>1</v>
      </c>
      <c r="J73" s="24">
        <f t="shared" si="2"/>
        <v>0.7</v>
      </c>
      <c r="K73" s="24">
        <v>1</v>
      </c>
      <c r="L73" s="24">
        <v>4</v>
      </c>
      <c r="M73" s="24">
        <v>1</v>
      </c>
      <c r="N73" s="24">
        <v>0.2</v>
      </c>
    </row>
    <row r="74" spans="1:17" ht="15" thickBo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1:17" ht="15" thickBot="1">
      <c r="D75" s="35" t="s">
        <v>75</v>
      </c>
      <c r="E75" s="36">
        <f>SUM(E70:E73)</f>
        <v>4.1053962879999998E-8</v>
      </c>
      <c r="H75" s="10"/>
      <c r="I75" s="10"/>
      <c r="J75" s="10"/>
      <c r="K75" s="10"/>
      <c r="L75" s="10"/>
      <c r="M75" s="10"/>
      <c r="N75" s="10"/>
      <c r="O75" s="10"/>
      <c r="P75" s="10"/>
    </row>
    <row r="77" spans="1:17">
      <c r="A77" s="146" t="s">
        <v>36</v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</row>
    <row r="79" spans="1:17">
      <c r="A79" s="25" t="s">
        <v>44</v>
      </c>
      <c r="B79" s="25"/>
      <c r="C79" s="25"/>
      <c r="D79" s="25"/>
      <c r="E79" s="25"/>
      <c r="F79" s="11"/>
      <c r="G79" s="25"/>
      <c r="H79" s="1"/>
      <c r="I79" s="1"/>
      <c r="N79" s="1"/>
      <c r="O79" s="1"/>
    </row>
    <row r="80" spans="1:17">
      <c r="A80" s="11" t="s">
        <v>77</v>
      </c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1"/>
      <c r="O80" s="11"/>
    </row>
    <row r="81" spans="1:17">
      <c r="L81" s="1"/>
      <c r="M81" s="1"/>
      <c r="N81" s="1"/>
      <c r="O81" s="1"/>
    </row>
    <row r="82" spans="1:17">
      <c r="A82" s="7" t="s">
        <v>16</v>
      </c>
      <c r="B82" s="11" t="s">
        <v>37</v>
      </c>
      <c r="C82" s="15"/>
      <c r="E82" s="11"/>
      <c r="F82" s="11"/>
      <c r="H82" s="1"/>
      <c r="I82" s="34">
        <f>0.0207*10^-6</f>
        <v>2.07E-8</v>
      </c>
      <c r="J82" s="56" t="s">
        <v>111</v>
      </c>
      <c r="K82" s="11"/>
      <c r="L82" s="12"/>
      <c r="M82" s="12"/>
      <c r="N82" s="12"/>
      <c r="O82" s="12"/>
      <c r="P82" s="12"/>
      <c r="Q82" s="12"/>
    </row>
    <row r="83" spans="1:17">
      <c r="A83" s="22" t="s">
        <v>4</v>
      </c>
      <c r="B83" s="11" t="s">
        <v>38</v>
      </c>
      <c r="C83" s="26"/>
      <c r="D83" s="11"/>
      <c r="E83" s="11"/>
      <c r="F83" s="11"/>
      <c r="G83" s="1"/>
      <c r="H83" s="1"/>
      <c r="I83" s="1"/>
      <c r="J83" s="1"/>
      <c r="K83" s="1"/>
      <c r="L83" s="2"/>
      <c r="M83" s="1"/>
      <c r="N83" s="9"/>
      <c r="O83" s="1"/>
    </row>
    <row r="84" spans="1:17">
      <c r="A84" s="22" t="s">
        <v>6</v>
      </c>
      <c r="B84" s="11" t="s">
        <v>32</v>
      </c>
      <c r="C84" s="12"/>
      <c r="D84" s="12"/>
      <c r="E84" s="12"/>
      <c r="F84" s="12"/>
      <c r="I84" s="1"/>
      <c r="J84" s="1"/>
      <c r="K84" s="1"/>
      <c r="L84" s="2"/>
      <c r="M84" s="1"/>
      <c r="N84" s="1"/>
      <c r="O84" s="1"/>
    </row>
    <row r="85" spans="1:17">
      <c r="A85" s="22" t="s">
        <v>7</v>
      </c>
      <c r="B85" s="11" t="s">
        <v>42</v>
      </c>
      <c r="C85" s="12"/>
      <c r="D85" s="11"/>
      <c r="E85" s="11"/>
      <c r="F85" s="11"/>
      <c r="G85" s="1"/>
      <c r="H85" s="1"/>
      <c r="I85" s="1"/>
      <c r="J85" s="1"/>
      <c r="K85" s="1"/>
      <c r="L85" s="2"/>
      <c r="M85" s="1"/>
      <c r="N85" s="1"/>
      <c r="O85" s="1"/>
    </row>
    <row r="86" spans="1:17">
      <c r="A86" s="23" t="s">
        <v>40</v>
      </c>
      <c r="B86" s="11" t="s">
        <v>41</v>
      </c>
      <c r="C86" s="11"/>
      <c r="D86" s="1"/>
      <c r="E86" s="1"/>
      <c r="F86" s="1"/>
      <c r="G86" s="1"/>
      <c r="H86" s="1"/>
      <c r="I86" s="1"/>
      <c r="J86" s="1"/>
      <c r="K86" s="3"/>
      <c r="L86" s="2"/>
      <c r="M86" s="1"/>
      <c r="N86" s="1"/>
      <c r="O86" s="1"/>
    </row>
    <row r="87" spans="1:17">
      <c r="A87" s="22" t="s">
        <v>31</v>
      </c>
      <c r="B87" s="11" t="s">
        <v>33</v>
      </c>
      <c r="C87" s="12"/>
      <c r="D87" s="12"/>
      <c r="E87" s="12"/>
      <c r="F87" s="12"/>
      <c r="G87" s="12"/>
      <c r="H87" s="12"/>
      <c r="I87" s="12"/>
      <c r="J87" s="12"/>
      <c r="K87" s="12"/>
    </row>
    <row r="88" spans="1:17">
      <c r="A88" s="22" t="s">
        <v>24</v>
      </c>
      <c r="B88" s="11" t="s">
        <v>35</v>
      </c>
      <c r="C88" s="12"/>
      <c r="D88" s="12"/>
      <c r="F88" s="1"/>
      <c r="G88" s="1"/>
      <c r="H88" s="1"/>
      <c r="I88" s="1"/>
      <c r="J88" s="1"/>
      <c r="K88" s="3"/>
    </row>
    <row r="90" spans="1:17">
      <c r="A90" s="4" t="s">
        <v>0</v>
      </c>
      <c r="B90" s="4" t="s">
        <v>1</v>
      </c>
      <c r="C90" s="4" t="s">
        <v>2</v>
      </c>
      <c r="D90" s="44" t="s">
        <v>74</v>
      </c>
      <c r="E90" s="6" t="s">
        <v>14</v>
      </c>
      <c r="F90" s="6" t="s">
        <v>15</v>
      </c>
      <c r="G90" s="8" t="s">
        <v>18</v>
      </c>
      <c r="H90" s="4" t="s">
        <v>4</v>
      </c>
      <c r="I90" s="4" t="s">
        <v>43</v>
      </c>
      <c r="J90" s="4" t="s">
        <v>6</v>
      </c>
      <c r="K90" s="4" t="s">
        <v>24</v>
      </c>
      <c r="L90" s="17" t="s">
        <v>23</v>
      </c>
    </row>
    <row r="91" spans="1:17">
      <c r="A91" s="51">
        <v>1</v>
      </c>
      <c r="B91" s="31" t="s">
        <v>142</v>
      </c>
      <c r="C91" s="27">
        <v>3</v>
      </c>
      <c r="D91" s="28">
        <v>0.3</v>
      </c>
      <c r="E91" s="29">
        <f t="shared" ref="E91:E97" si="3">F91*C91</f>
        <v>1.0532160000000002E-9</v>
      </c>
      <c r="F91" s="30">
        <f t="shared" ref="F91" si="4">G91*H91*I91*J91*K91</f>
        <v>3.5107200000000008E-10</v>
      </c>
      <c r="G91" s="30">
        <f t="shared" ref="G91:G97" si="5">0.0207*10^-6</f>
        <v>2.07E-8</v>
      </c>
      <c r="H91" s="24">
        <v>5.2999999999999999E-2</v>
      </c>
      <c r="I91" s="24">
        <f>0.4</f>
        <v>0.4</v>
      </c>
      <c r="J91" s="24">
        <v>4</v>
      </c>
      <c r="K91" s="28">
        <v>0.2</v>
      </c>
      <c r="L91" s="24">
        <v>1</v>
      </c>
    </row>
    <row r="92" spans="1:17">
      <c r="A92" s="51">
        <v>2</v>
      </c>
      <c r="B92" s="31" t="s">
        <v>133</v>
      </c>
      <c r="C92" s="27">
        <v>14</v>
      </c>
      <c r="D92" s="28">
        <v>0.3</v>
      </c>
      <c r="E92" s="29">
        <f t="shared" si="3"/>
        <v>6.5123856000000012E-9</v>
      </c>
      <c r="F92" s="30">
        <f t="shared" ref="F92" si="6">G92*H92*I92*J92*K92</f>
        <v>4.6517040000000008E-10</v>
      </c>
      <c r="G92" s="30">
        <f t="shared" si="5"/>
        <v>2.07E-8</v>
      </c>
      <c r="H92" s="24">
        <v>5.2999999999999999E-2</v>
      </c>
      <c r="I92" s="24">
        <f>0.53</f>
        <v>0.53</v>
      </c>
      <c r="J92" s="24">
        <v>4</v>
      </c>
      <c r="K92" s="28">
        <v>0.2</v>
      </c>
      <c r="L92" s="24">
        <v>1</v>
      </c>
    </row>
    <row r="93" spans="1:17">
      <c r="A93" s="51">
        <v>3</v>
      </c>
      <c r="B93" s="31" t="s">
        <v>92</v>
      </c>
      <c r="C93" s="27">
        <v>8</v>
      </c>
      <c r="D93" s="28">
        <v>0.3</v>
      </c>
      <c r="E93" s="29">
        <f t="shared" si="3"/>
        <v>4.9150080000000006E-9</v>
      </c>
      <c r="F93" s="30">
        <f t="shared" ref="F93:F94" si="7">G93*H93*I93*J93*K93</f>
        <v>6.1437600000000007E-10</v>
      </c>
      <c r="G93" s="30">
        <f t="shared" si="5"/>
        <v>2.07E-8</v>
      </c>
      <c r="H93" s="24">
        <v>5.2999999999999999E-2</v>
      </c>
      <c r="I93" s="24">
        <f>0.7</f>
        <v>0.7</v>
      </c>
      <c r="J93" s="24">
        <v>4</v>
      </c>
      <c r="K93" s="28">
        <v>0.2</v>
      </c>
      <c r="L93" s="24">
        <v>1</v>
      </c>
    </row>
    <row r="94" spans="1:17" ht="15" customHeight="1">
      <c r="A94" s="51">
        <v>4</v>
      </c>
      <c r="B94" s="31" t="s">
        <v>93</v>
      </c>
      <c r="C94" s="27">
        <v>2</v>
      </c>
      <c r="D94" s="28">
        <v>0.3</v>
      </c>
      <c r="E94" s="29">
        <f t="shared" si="3"/>
        <v>1.6149312000000003E-9</v>
      </c>
      <c r="F94" s="30">
        <f t="shared" si="7"/>
        <v>8.0746560000000015E-10</v>
      </c>
      <c r="G94" s="30">
        <f t="shared" si="5"/>
        <v>2.07E-8</v>
      </c>
      <c r="H94" s="24">
        <v>5.2999999999999999E-2</v>
      </c>
      <c r="I94" s="24">
        <f>0.92</f>
        <v>0.92</v>
      </c>
      <c r="J94" s="24">
        <v>4</v>
      </c>
      <c r="K94" s="28">
        <v>0.2</v>
      </c>
      <c r="L94" s="24">
        <v>1</v>
      </c>
    </row>
    <row r="95" spans="1:17">
      <c r="A95" s="51">
        <v>5</v>
      </c>
      <c r="B95" s="31" t="s">
        <v>134</v>
      </c>
      <c r="C95" s="27">
        <v>6</v>
      </c>
      <c r="D95" s="28">
        <v>0.3</v>
      </c>
      <c r="E95" s="29">
        <f t="shared" si="3"/>
        <v>6.3719568000000002E-9</v>
      </c>
      <c r="F95" s="30">
        <f>G95*H95*I95*J95*K95</f>
        <v>1.0619928E-9</v>
      </c>
      <c r="G95" s="30">
        <f t="shared" si="5"/>
        <v>2.07E-8</v>
      </c>
      <c r="H95" s="24">
        <v>5.2999999999999999E-2</v>
      </c>
      <c r="I95" s="24">
        <f>1.21</f>
        <v>1.21</v>
      </c>
      <c r="J95" s="24">
        <v>4</v>
      </c>
      <c r="K95" s="28">
        <v>0.2</v>
      </c>
      <c r="L95" s="24">
        <v>1</v>
      </c>
    </row>
    <row r="96" spans="1:17">
      <c r="A96" s="51">
        <v>6</v>
      </c>
      <c r="B96" s="31" t="s">
        <v>128</v>
      </c>
      <c r="C96" s="27">
        <v>11</v>
      </c>
      <c r="D96" s="28">
        <v>0.3</v>
      </c>
      <c r="E96" s="29">
        <f t="shared" si="3"/>
        <v>1.5350623200000002E-8</v>
      </c>
      <c r="F96" s="30">
        <f>G96*H96*I96*J96*K96</f>
        <v>1.3955112000000003E-9</v>
      </c>
      <c r="G96" s="30">
        <f t="shared" si="5"/>
        <v>2.07E-8</v>
      </c>
      <c r="H96" s="24">
        <v>5.2999999999999999E-2</v>
      </c>
      <c r="I96" s="24">
        <f>1.59</f>
        <v>1.59</v>
      </c>
      <c r="J96" s="24">
        <v>4</v>
      </c>
      <c r="K96" s="28">
        <v>0.2</v>
      </c>
      <c r="L96" s="24">
        <v>1</v>
      </c>
    </row>
    <row r="97" spans="1:14">
      <c r="A97" s="53">
        <v>7</v>
      </c>
      <c r="B97" s="31" t="s">
        <v>143</v>
      </c>
      <c r="C97" s="27">
        <v>4</v>
      </c>
      <c r="D97" s="28">
        <v>0.3</v>
      </c>
      <c r="E97" s="29">
        <f t="shared" si="3"/>
        <v>7.3725120000000009E-9</v>
      </c>
      <c r="F97" s="30">
        <f t="shared" ref="F97" si="8">G97*H97*I97*J97*K97</f>
        <v>1.8431280000000002E-9</v>
      </c>
      <c r="G97" s="30">
        <f t="shared" si="5"/>
        <v>2.07E-8</v>
      </c>
      <c r="H97" s="24">
        <v>5.2999999999999999E-2</v>
      </c>
      <c r="I97" s="24">
        <f t="shared" ref="I97" si="9">2.1</f>
        <v>2.1</v>
      </c>
      <c r="J97" s="24">
        <v>4</v>
      </c>
      <c r="K97" s="28">
        <v>0.2</v>
      </c>
      <c r="L97" s="24">
        <v>1</v>
      </c>
    </row>
    <row r="98" spans="1:14" ht="15" thickBot="1">
      <c r="G98" s="49"/>
      <c r="H98" s="26"/>
      <c r="I98" s="26"/>
      <c r="J98" s="50"/>
      <c r="K98" s="50"/>
      <c r="L98" s="50"/>
      <c r="M98" s="15"/>
      <c r="N98" s="50"/>
    </row>
    <row r="99" spans="1:14" ht="15" thickBot="1">
      <c r="D99" s="35" t="s">
        <v>75</v>
      </c>
      <c r="E99" s="36">
        <f>SUM(E91:E97)</f>
        <v>4.3190632800000001E-8</v>
      </c>
      <c r="G99" s="49"/>
      <c r="H99" s="26"/>
      <c r="I99" s="26"/>
      <c r="J99" s="50"/>
      <c r="K99" s="50"/>
      <c r="L99" s="50"/>
      <c r="M99" s="15"/>
      <c r="N99" s="50"/>
    </row>
    <row r="100" spans="1:14">
      <c r="G100" s="49"/>
      <c r="H100" s="26"/>
      <c r="I100" s="26"/>
      <c r="J100" s="50"/>
      <c r="K100" s="50"/>
      <c r="L100" s="50"/>
      <c r="M100" s="15"/>
      <c r="N100" s="50"/>
    </row>
    <row r="101" spans="1:14">
      <c r="A101" s="25" t="s">
        <v>46</v>
      </c>
      <c r="B101" s="25"/>
      <c r="C101" s="25"/>
      <c r="D101" s="1"/>
      <c r="E101" s="1"/>
      <c r="F101" s="1"/>
      <c r="G101" s="1"/>
      <c r="H101" s="1"/>
      <c r="I101" s="1"/>
      <c r="J101" s="1"/>
      <c r="K101" s="1"/>
    </row>
    <row r="102" spans="1:14">
      <c r="A102" s="11" t="s">
        <v>77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2"/>
    </row>
    <row r="104" spans="1:14">
      <c r="A104" s="7" t="s">
        <v>16</v>
      </c>
      <c r="B104" s="11" t="s">
        <v>37</v>
      </c>
      <c r="C104" s="15"/>
      <c r="F104" s="11"/>
      <c r="I104" s="34">
        <f>0.064*10^-6</f>
        <v>6.4000000000000004E-8</v>
      </c>
      <c r="J104" s="56" t="s">
        <v>111</v>
      </c>
    </row>
    <row r="105" spans="1:14">
      <c r="A105" s="22" t="s">
        <v>5</v>
      </c>
      <c r="B105" s="11" t="s">
        <v>39</v>
      </c>
      <c r="C105" s="15"/>
      <c r="D105" s="11"/>
      <c r="E105" s="11"/>
      <c r="F105" s="11"/>
      <c r="G105" s="1"/>
      <c r="H105" s="1"/>
    </row>
    <row r="107" spans="1:14">
      <c r="A107" s="4" t="s">
        <v>0</v>
      </c>
      <c r="B107" s="4" t="s">
        <v>1</v>
      </c>
      <c r="C107" s="4" t="s">
        <v>2</v>
      </c>
      <c r="D107" s="44" t="s">
        <v>74</v>
      </c>
      <c r="E107" s="6" t="s">
        <v>14</v>
      </c>
      <c r="F107" s="6" t="s">
        <v>15</v>
      </c>
      <c r="G107" s="6" t="s">
        <v>16</v>
      </c>
      <c r="H107" s="4" t="s">
        <v>4</v>
      </c>
      <c r="I107" s="4" t="s">
        <v>5</v>
      </c>
      <c r="J107" s="4" t="s">
        <v>6</v>
      </c>
      <c r="K107" s="4" t="s">
        <v>24</v>
      </c>
      <c r="L107" s="17" t="s">
        <v>23</v>
      </c>
    </row>
    <row r="108" spans="1:14">
      <c r="A108" s="53">
        <v>1</v>
      </c>
      <c r="B108" s="32" t="s">
        <v>94</v>
      </c>
      <c r="C108" s="27">
        <v>2</v>
      </c>
      <c r="D108" s="28">
        <v>0.3</v>
      </c>
      <c r="E108" s="29">
        <f>C108*F108</f>
        <v>5.6524800000000007E-9</v>
      </c>
      <c r="F108" s="30">
        <f>G108*H108*I108*J108*K108*L108</f>
        <v>2.8262400000000004E-9</v>
      </c>
      <c r="G108" s="31">
        <f>0.064*10^-6</f>
        <v>6.4000000000000004E-8</v>
      </c>
      <c r="H108" s="24">
        <f>0.184</f>
        <v>0.184</v>
      </c>
      <c r="I108" s="24">
        <f>1</f>
        <v>1</v>
      </c>
      <c r="J108" s="24">
        <v>4</v>
      </c>
      <c r="K108" s="28">
        <v>0.2</v>
      </c>
      <c r="L108" s="24">
        <v>0.3</v>
      </c>
    </row>
    <row r="109" spans="1:14" ht="15" thickBot="1"/>
    <row r="110" spans="1:14" ht="15" thickBot="1">
      <c r="D110" s="35" t="s">
        <v>75</v>
      </c>
      <c r="E110" s="36">
        <f>SUM(E108)</f>
        <v>5.6524800000000007E-9</v>
      </c>
    </row>
    <row r="113" spans="1:17">
      <c r="A113" s="25" t="s">
        <v>76</v>
      </c>
      <c r="B113" s="25"/>
      <c r="C113" s="25"/>
      <c r="D113" s="1"/>
      <c r="E113" s="1"/>
      <c r="F113" s="1"/>
      <c r="G113" s="1"/>
      <c r="H113" s="1"/>
      <c r="I113" s="1"/>
      <c r="J113" s="1"/>
      <c r="K113" s="1"/>
    </row>
    <row r="114" spans="1:17">
      <c r="A114" s="11" t="s">
        <v>96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2"/>
    </row>
    <row r="116" spans="1:17">
      <c r="A116" s="7" t="s">
        <v>16</v>
      </c>
      <c r="B116" s="11" t="s">
        <v>37</v>
      </c>
      <c r="C116" s="15"/>
      <c r="F116" s="11"/>
      <c r="I116" s="34">
        <f>0.011*10^-6</f>
        <v>1.0999999999999999E-8</v>
      </c>
      <c r="J116" s="56" t="s">
        <v>116</v>
      </c>
    </row>
    <row r="118" spans="1:17">
      <c r="A118" s="4" t="s">
        <v>0</v>
      </c>
      <c r="B118" s="4" t="s">
        <v>1</v>
      </c>
      <c r="C118" s="4" t="s">
        <v>2</v>
      </c>
      <c r="D118" s="44" t="s">
        <v>74</v>
      </c>
      <c r="E118" s="6" t="s">
        <v>14</v>
      </c>
      <c r="F118" s="6" t="s">
        <v>15</v>
      </c>
      <c r="G118" s="6" t="s">
        <v>16</v>
      </c>
      <c r="H118" s="4" t="s">
        <v>4</v>
      </c>
      <c r="I118" s="4" t="s">
        <v>7</v>
      </c>
      <c r="J118" s="4" t="s">
        <v>6</v>
      </c>
      <c r="K118" s="4" t="s">
        <v>24</v>
      </c>
    </row>
    <row r="119" spans="1:17">
      <c r="A119" s="51">
        <v>1</v>
      </c>
      <c r="B119" s="31" t="s">
        <v>95</v>
      </c>
      <c r="C119" s="33">
        <v>19</v>
      </c>
      <c r="D119" s="28">
        <v>0.2</v>
      </c>
      <c r="E119" s="29">
        <f>C119*F119</f>
        <v>6.1529599999999994E-9</v>
      </c>
      <c r="F119" s="30">
        <f>G119*H119*I119*J119*K119</f>
        <v>3.2383999999999999E-10</v>
      </c>
      <c r="G119" s="31">
        <f>0.011*10^-6</f>
        <v>1.0999999999999999E-8</v>
      </c>
      <c r="H119" s="24">
        <f>0.0368</f>
        <v>3.6799999999999999E-2</v>
      </c>
      <c r="I119" s="24">
        <f>1</f>
        <v>1</v>
      </c>
      <c r="J119" s="24">
        <v>4</v>
      </c>
      <c r="K119" s="28">
        <v>0.2</v>
      </c>
    </row>
    <row r="120" spans="1:17" ht="15" thickBot="1"/>
    <row r="121" spans="1:17" ht="15" thickBot="1">
      <c r="D121" s="35" t="s">
        <v>75</v>
      </c>
      <c r="E121" s="36">
        <f>SUM(E119)</f>
        <v>6.1529599999999994E-9</v>
      </c>
    </row>
    <row r="124" spans="1:17">
      <c r="A124" s="146" t="s">
        <v>48</v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</row>
    <row r="126" spans="1:17">
      <c r="A126" s="34" t="s">
        <v>49</v>
      </c>
      <c r="B126" s="34"/>
      <c r="C126" s="34"/>
      <c r="D126" s="34"/>
      <c r="E126" s="34"/>
    </row>
    <row r="127" spans="1:17">
      <c r="A127" s="11" t="s">
        <v>135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2"/>
      <c r="L127" s="12"/>
      <c r="M127" s="12"/>
      <c r="N127" s="12"/>
    </row>
    <row r="129" spans="1:31">
      <c r="A129" s="7" t="s">
        <v>16</v>
      </c>
      <c r="B129" s="11" t="s">
        <v>37</v>
      </c>
      <c r="C129" s="15"/>
      <c r="E129" s="11"/>
      <c r="F129" s="11"/>
      <c r="G129" s="11"/>
      <c r="H129" s="1"/>
      <c r="I129" s="11" t="s">
        <v>136</v>
      </c>
      <c r="J129" s="34">
        <f>0.01553*10^-6</f>
        <v>1.5530000000000001E-8</v>
      </c>
      <c r="K129" s="11" t="s">
        <v>118</v>
      </c>
      <c r="L129" s="12"/>
      <c r="M129" s="12"/>
      <c r="N129" s="12"/>
      <c r="O129" s="12"/>
      <c r="P129" s="12"/>
      <c r="Q129" s="12"/>
    </row>
    <row r="130" spans="1:31">
      <c r="A130" s="22" t="s">
        <v>50</v>
      </c>
      <c r="B130" s="11" t="s">
        <v>51</v>
      </c>
      <c r="C130" s="26"/>
      <c r="D130" s="11"/>
      <c r="E130" s="11"/>
      <c r="F130" s="11"/>
      <c r="G130" s="1"/>
      <c r="H130" s="1"/>
      <c r="J130" s="11"/>
      <c r="K130" s="11" t="s">
        <v>117</v>
      </c>
      <c r="L130" s="12"/>
      <c r="M130" s="12"/>
      <c r="N130" s="12"/>
      <c r="O130" s="12"/>
      <c r="P130" s="12"/>
      <c r="AD130" s="12"/>
      <c r="AE130" s="12"/>
    </row>
    <row r="131" spans="1:31">
      <c r="A131" s="22" t="s">
        <v>6</v>
      </c>
      <c r="B131" s="11" t="s">
        <v>32</v>
      </c>
      <c r="C131" s="12"/>
      <c r="D131" s="12"/>
      <c r="E131" s="12"/>
      <c r="F131" s="12"/>
      <c r="I131" s="11" t="s">
        <v>119</v>
      </c>
      <c r="J131" s="34">
        <f>0.005*10^-6</f>
        <v>5.0000000000000001E-9</v>
      </c>
      <c r="K131" s="11" t="s">
        <v>120</v>
      </c>
      <c r="L131" s="12"/>
      <c r="M131" s="12"/>
      <c r="N131" s="12"/>
      <c r="O131" s="12"/>
      <c r="P131" s="12"/>
      <c r="V131" s="1"/>
      <c r="AD131" s="12"/>
      <c r="AE131" s="12"/>
    </row>
    <row r="132" spans="1:31">
      <c r="A132" s="22" t="s">
        <v>9</v>
      </c>
      <c r="B132" s="11" t="s">
        <v>53</v>
      </c>
      <c r="C132" s="12"/>
      <c r="D132" s="11"/>
      <c r="E132" s="11"/>
      <c r="F132" s="11"/>
      <c r="G132" s="1"/>
      <c r="H132" s="1"/>
      <c r="I132" s="1"/>
      <c r="V132" s="1"/>
    </row>
    <row r="133" spans="1:31">
      <c r="A133" s="23" t="s">
        <v>54</v>
      </c>
      <c r="B133" s="11" t="s">
        <v>55</v>
      </c>
      <c r="C133" s="11"/>
      <c r="D133" s="1"/>
      <c r="E133" s="1"/>
      <c r="F133" s="1"/>
      <c r="G133" s="1"/>
      <c r="H133" s="1"/>
      <c r="I133" s="1"/>
      <c r="AD133" s="12"/>
      <c r="AE133" s="12"/>
    </row>
    <row r="134" spans="1:31">
      <c r="A134" s="22" t="s">
        <v>31</v>
      </c>
      <c r="B134" s="11" t="s">
        <v>33</v>
      </c>
      <c r="C134" s="12"/>
      <c r="D134" s="12"/>
      <c r="E134" s="12"/>
      <c r="F134" s="12"/>
      <c r="G134" s="12"/>
      <c r="H134" s="12"/>
      <c r="I134" s="12"/>
      <c r="J134" s="12"/>
    </row>
    <row r="135" spans="1:31">
      <c r="A135" s="22" t="s">
        <v>7</v>
      </c>
      <c r="B135" s="11" t="s">
        <v>52</v>
      </c>
      <c r="F135" s="1"/>
      <c r="G135" s="1"/>
      <c r="H135" s="1"/>
      <c r="I135" s="1"/>
      <c r="J135" s="1"/>
      <c r="K135" s="3"/>
    </row>
    <row r="136" spans="1:31">
      <c r="A136" s="22" t="s">
        <v>24</v>
      </c>
      <c r="B136" s="11" t="s">
        <v>35</v>
      </c>
      <c r="C136" s="12"/>
      <c r="D136" s="12"/>
    </row>
    <row r="137" spans="1:31" ht="15" customHeight="1"/>
    <row r="138" spans="1:31" ht="15" customHeight="1">
      <c r="A138" s="4" t="s">
        <v>0</v>
      </c>
      <c r="B138" s="4" t="s">
        <v>1</v>
      </c>
      <c r="C138" s="4" t="s">
        <v>2</v>
      </c>
      <c r="D138" s="5" t="s">
        <v>8</v>
      </c>
      <c r="E138" s="43" t="s">
        <v>79</v>
      </c>
      <c r="F138" s="41" t="s">
        <v>57</v>
      </c>
      <c r="G138" s="6" t="s">
        <v>14</v>
      </c>
      <c r="H138" s="6" t="s">
        <v>15</v>
      </c>
      <c r="I138" s="6" t="s">
        <v>17</v>
      </c>
    </row>
    <row r="139" spans="1:31" ht="15" customHeight="1">
      <c r="A139" s="51">
        <v>1</v>
      </c>
      <c r="B139" s="31" t="s">
        <v>137</v>
      </c>
      <c r="C139" s="33">
        <v>1</v>
      </c>
      <c r="D139" s="28">
        <v>5</v>
      </c>
      <c r="E139" s="28">
        <v>200</v>
      </c>
      <c r="F139" s="28" t="s">
        <v>58</v>
      </c>
      <c r="G139" s="29">
        <f>C139*H139</f>
        <v>1.5530000000000001E-8</v>
      </c>
      <c r="H139" s="30">
        <f>I139</f>
        <v>1.5530000000000001E-8</v>
      </c>
      <c r="I139" s="31">
        <f>0.01553*10^-6</f>
        <v>1.5530000000000001E-8</v>
      </c>
    </row>
    <row r="140" spans="1:31" ht="15" customHeight="1">
      <c r="A140" s="51">
        <v>2</v>
      </c>
      <c r="B140" s="31" t="s">
        <v>56</v>
      </c>
      <c r="C140" s="33">
        <v>3</v>
      </c>
      <c r="D140" s="28">
        <v>5</v>
      </c>
      <c r="E140" s="28">
        <v>200</v>
      </c>
      <c r="F140" s="28" t="s">
        <v>59</v>
      </c>
      <c r="G140" s="29">
        <f>C140*H140</f>
        <v>1.5000000000000002E-8</v>
      </c>
      <c r="H140" s="30">
        <f>I140</f>
        <v>5.0000000000000001E-9</v>
      </c>
      <c r="I140" s="31">
        <f>0.005*10^-6</f>
        <v>5.0000000000000001E-9</v>
      </c>
    </row>
    <row r="141" spans="1:31" ht="15" customHeight="1"/>
    <row r="142" spans="1:31" ht="15" thickBot="1"/>
    <row r="143" spans="1:31" ht="15" thickBot="1">
      <c r="F143" s="35" t="s">
        <v>75</v>
      </c>
      <c r="G143" s="36">
        <f>SUM(G139:G140)</f>
        <v>3.0530000000000003E-8</v>
      </c>
    </row>
    <row r="146" spans="1:17">
      <c r="A146" s="146" t="s">
        <v>60</v>
      </c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</row>
    <row r="148" spans="1:17">
      <c r="A148" s="34" t="s">
        <v>61</v>
      </c>
      <c r="B148" s="34"/>
      <c r="C148" s="34"/>
      <c r="D148" s="34"/>
      <c r="E148" s="34"/>
    </row>
    <row r="149" spans="1:17">
      <c r="A149" s="11" t="s">
        <v>102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</row>
    <row r="151" spans="1:17">
      <c r="A151" s="7" t="s">
        <v>17</v>
      </c>
      <c r="B151" s="11" t="s">
        <v>3</v>
      </c>
      <c r="C151" s="15"/>
      <c r="E151" s="11"/>
      <c r="F151" s="11"/>
      <c r="G151" s="11"/>
      <c r="H151" s="1"/>
      <c r="I151" s="34">
        <f>0.039*10^-6</f>
        <v>3.8999999999999998E-8</v>
      </c>
      <c r="J151" s="56" t="s">
        <v>110</v>
      </c>
      <c r="K151" s="11"/>
      <c r="L151" s="12"/>
      <c r="M151" s="12"/>
      <c r="N151" s="12"/>
      <c r="O151" s="12"/>
      <c r="P151" s="12"/>
      <c r="Q151" s="12"/>
    </row>
    <row r="152" spans="1:17">
      <c r="A152" s="22" t="s">
        <v>13</v>
      </c>
      <c r="B152" s="11" t="s">
        <v>62</v>
      </c>
      <c r="C152" s="26"/>
      <c r="D152" s="11"/>
      <c r="E152" s="11"/>
      <c r="F152" s="11"/>
      <c r="G152" s="1"/>
      <c r="H152" s="1"/>
      <c r="I152" s="1"/>
      <c r="J152" s="1"/>
    </row>
    <row r="153" spans="1:17">
      <c r="A153" s="22" t="s">
        <v>63</v>
      </c>
      <c r="B153" s="11" t="s">
        <v>66</v>
      </c>
      <c r="C153" s="12"/>
      <c r="I153" s="1"/>
      <c r="J153" s="1"/>
    </row>
    <row r="154" spans="1:17">
      <c r="A154" s="22" t="s">
        <v>12</v>
      </c>
      <c r="B154" s="11" t="s">
        <v>64</v>
      </c>
      <c r="C154" s="12"/>
      <c r="D154" s="11"/>
      <c r="E154" s="11"/>
      <c r="F154" s="11"/>
      <c r="G154" s="1"/>
      <c r="H154" s="1"/>
      <c r="I154" s="1"/>
      <c r="J154" s="1"/>
    </row>
    <row r="155" spans="1:17">
      <c r="A155" s="23" t="s">
        <v>65</v>
      </c>
      <c r="B155" s="11" t="s">
        <v>67</v>
      </c>
      <c r="C155" s="11"/>
      <c r="D155" s="1"/>
      <c r="E155" s="1"/>
      <c r="F155" s="1"/>
      <c r="G155" s="1"/>
      <c r="H155" s="1"/>
      <c r="I155" s="1"/>
      <c r="J155" s="1"/>
    </row>
    <row r="156" spans="1:17">
      <c r="A156" s="22" t="s">
        <v>31</v>
      </c>
      <c r="B156" s="11" t="s">
        <v>33</v>
      </c>
      <c r="C156" s="12"/>
      <c r="D156" s="12"/>
      <c r="E156" s="12"/>
      <c r="F156" s="12"/>
      <c r="G156" s="12"/>
      <c r="H156" s="12"/>
      <c r="I156" s="12"/>
      <c r="J156" s="12"/>
    </row>
    <row r="157" spans="1:17">
      <c r="A157" s="22" t="s">
        <v>7</v>
      </c>
      <c r="B157" s="11" t="s">
        <v>52</v>
      </c>
      <c r="F157" s="1"/>
      <c r="G157" s="1"/>
      <c r="H157" s="1"/>
      <c r="I157" s="1"/>
      <c r="J157" s="1"/>
    </row>
    <row r="158" spans="1:17">
      <c r="A158" s="22" t="s">
        <v>24</v>
      </c>
      <c r="B158" s="11" t="s">
        <v>35</v>
      </c>
      <c r="C158" s="12"/>
      <c r="D158" s="12"/>
    </row>
    <row r="159" spans="1:17">
      <c r="A159" s="22" t="s">
        <v>6</v>
      </c>
      <c r="B159" s="11" t="s">
        <v>32</v>
      </c>
      <c r="C159" s="12"/>
      <c r="D159" s="12"/>
      <c r="E159" s="12"/>
      <c r="F159" s="12"/>
    </row>
    <row r="161" spans="1:16">
      <c r="A161" s="4" t="s">
        <v>0</v>
      </c>
      <c r="B161" s="4" t="s">
        <v>1</v>
      </c>
      <c r="C161" s="4" t="s">
        <v>2</v>
      </c>
      <c r="D161" s="5" t="s">
        <v>74</v>
      </c>
      <c r="E161" s="5" t="s">
        <v>73</v>
      </c>
      <c r="F161" s="6" t="s">
        <v>14</v>
      </c>
      <c r="G161" s="6" t="s">
        <v>15</v>
      </c>
      <c r="H161" s="6" t="s">
        <v>17</v>
      </c>
      <c r="I161" s="4" t="s">
        <v>13</v>
      </c>
      <c r="J161" s="4" t="s">
        <v>12</v>
      </c>
      <c r="K161" s="4" t="s">
        <v>11</v>
      </c>
      <c r="L161" s="4" t="s">
        <v>7</v>
      </c>
      <c r="M161" s="4" t="s">
        <v>6</v>
      </c>
      <c r="N161" s="4" t="s">
        <v>24</v>
      </c>
    </row>
    <row r="162" spans="1:16">
      <c r="A162" s="51">
        <v>1</v>
      </c>
      <c r="B162" s="31" t="s">
        <v>99</v>
      </c>
      <c r="C162" s="33">
        <v>2</v>
      </c>
      <c r="D162" s="28">
        <v>0.2</v>
      </c>
      <c r="E162" s="28">
        <v>0.2</v>
      </c>
      <c r="F162" s="29">
        <f>C162*G162</f>
        <v>1.022112E-8</v>
      </c>
      <c r="G162" s="30">
        <f>H162*I162*J162*L162*M162*N162*K162</f>
        <v>5.1105599999999998E-9</v>
      </c>
      <c r="H162" s="31">
        <f>0.039*10^-6</f>
        <v>3.8999999999999998E-8</v>
      </c>
      <c r="I162" s="24">
        <v>0.156</v>
      </c>
      <c r="J162" s="24">
        <v>1.5</v>
      </c>
      <c r="K162" s="24">
        <v>0.7</v>
      </c>
      <c r="L162" s="24">
        <v>1</v>
      </c>
      <c r="M162" s="24">
        <v>4</v>
      </c>
      <c r="N162" s="28">
        <v>0.2</v>
      </c>
    </row>
    <row r="163" spans="1:16" ht="15" thickBot="1"/>
    <row r="164" spans="1:16" ht="15" thickBot="1">
      <c r="E164" s="35" t="s">
        <v>75</v>
      </c>
      <c r="F164" s="36">
        <f>SUM(F162)</f>
        <v>1.022112E-8</v>
      </c>
    </row>
    <row r="166" spans="1:16">
      <c r="A166" s="34" t="s">
        <v>69</v>
      </c>
      <c r="B166" s="34"/>
      <c r="C166" s="34"/>
      <c r="D166" s="34"/>
    </row>
    <row r="167" spans="1:16">
      <c r="A167" s="11" t="s">
        <v>130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</row>
    <row r="168" spans="1:16">
      <c r="A168" s="34"/>
      <c r="B168" s="34"/>
      <c r="C168" s="34"/>
      <c r="D168" s="34"/>
      <c r="E168" s="34"/>
    </row>
    <row r="169" spans="1:16">
      <c r="A169" s="7" t="s">
        <v>15</v>
      </c>
      <c r="B169" s="11" t="s">
        <v>3</v>
      </c>
      <c r="H169" s="34">
        <f>0.01*10^-6</f>
        <v>1E-8</v>
      </c>
      <c r="I169" s="56"/>
      <c r="J169" s="11"/>
      <c r="K169" s="12"/>
      <c r="L169" s="12"/>
      <c r="M169" s="12"/>
      <c r="N169" s="12"/>
      <c r="O169" s="12"/>
      <c r="P169" s="12"/>
    </row>
    <row r="170" spans="1:16">
      <c r="A170" s="22" t="s">
        <v>13</v>
      </c>
      <c r="B170" s="11" t="s">
        <v>62</v>
      </c>
      <c r="C170" s="26"/>
      <c r="D170" s="11"/>
      <c r="E170" s="11"/>
      <c r="F170" s="11"/>
      <c r="G170" s="1"/>
    </row>
    <row r="172" spans="1:16">
      <c r="A172" s="4" t="s">
        <v>0</v>
      </c>
      <c r="B172" s="4" t="s">
        <v>1</v>
      </c>
      <c r="C172" s="4" t="s">
        <v>2</v>
      </c>
      <c r="D172" s="18" t="s">
        <v>73</v>
      </c>
      <c r="E172" s="6" t="s">
        <v>14</v>
      </c>
      <c r="F172" s="6" t="s">
        <v>15</v>
      </c>
    </row>
    <row r="173" spans="1:16">
      <c r="A173" s="51">
        <v>1</v>
      </c>
      <c r="B173" s="31" t="s">
        <v>131</v>
      </c>
      <c r="C173" s="33">
        <v>2</v>
      </c>
      <c r="D173" s="28">
        <v>0.2</v>
      </c>
      <c r="E173" s="29">
        <f>C173*F173</f>
        <v>2E-8</v>
      </c>
      <c r="F173" s="30">
        <f>0.01*10^-6</f>
        <v>1E-8</v>
      </c>
    </row>
    <row r="174" spans="1:16">
      <c r="A174" s="51">
        <v>2</v>
      </c>
      <c r="B174" s="31" t="s">
        <v>132</v>
      </c>
      <c r="C174" s="33">
        <v>2</v>
      </c>
      <c r="D174" s="28">
        <v>0.2</v>
      </c>
      <c r="E174" s="29">
        <f>C174*F174</f>
        <v>2E-8</v>
      </c>
      <c r="F174" s="30">
        <f>0.01*10^-6</f>
        <v>1E-8</v>
      </c>
    </row>
    <row r="175" spans="1:16" ht="15" thickBot="1"/>
    <row r="176" spans="1:16" ht="15" thickBot="1">
      <c r="D176" s="35" t="s">
        <v>75</v>
      </c>
      <c r="E176" s="36">
        <f>SUM(E173:E174)</f>
        <v>4.0000000000000001E-8</v>
      </c>
    </row>
    <row r="179" spans="1:15">
      <c r="A179" s="34" t="s">
        <v>72</v>
      </c>
      <c r="B179" s="34"/>
      <c r="C179" s="34"/>
    </row>
    <row r="180" spans="1:15">
      <c r="A180" s="11" t="s">
        <v>141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2"/>
    </row>
    <row r="182" spans="1:15">
      <c r="A182" s="7" t="s">
        <v>17</v>
      </c>
      <c r="B182" s="11" t="s">
        <v>3</v>
      </c>
      <c r="H182" s="34"/>
      <c r="I182" s="56"/>
      <c r="J182" s="11"/>
      <c r="K182" s="12"/>
      <c r="L182" s="12"/>
      <c r="M182" s="12"/>
      <c r="N182" s="12"/>
      <c r="O182" s="12"/>
    </row>
    <row r="184" spans="1:15">
      <c r="A184" s="4" t="s">
        <v>0</v>
      </c>
      <c r="B184" s="4" t="s">
        <v>1</v>
      </c>
      <c r="C184" s="4" t="s">
        <v>2</v>
      </c>
      <c r="D184" s="6" t="s">
        <v>14</v>
      </c>
      <c r="E184" s="6" t="s">
        <v>15</v>
      </c>
      <c r="F184" s="6" t="s">
        <v>17</v>
      </c>
    </row>
    <row r="185" spans="1:15">
      <c r="A185" s="51">
        <v>1</v>
      </c>
      <c r="B185" s="31" t="s">
        <v>140</v>
      </c>
      <c r="C185" s="33">
        <v>1</v>
      </c>
      <c r="D185" s="29">
        <f>C185*E185</f>
        <v>2.9999999999999997E-8</v>
      </c>
      <c r="E185" s="30">
        <f>F185</f>
        <v>2.9999999999999997E-8</v>
      </c>
      <c r="F185" s="31">
        <f>0.03*10^-6</f>
        <v>2.9999999999999997E-8</v>
      </c>
      <c r="G185" s="56"/>
      <c r="H185" s="11"/>
      <c r="I185" s="12"/>
      <c r="J185" s="12"/>
      <c r="K185" s="12"/>
      <c r="L185" s="12"/>
    </row>
    <row r="186" spans="1:15">
      <c r="A186" s="51">
        <v>2</v>
      </c>
      <c r="B186" s="31" t="s">
        <v>100</v>
      </c>
      <c r="C186" s="33">
        <v>1</v>
      </c>
      <c r="D186" s="29">
        <f>C186*E186</f>
        <v>2.9999999999999997E-8</v>
      </c>
      <c r="E186" s="30">
        <f>F186</f>
        <v>2.9999999999999997E-8</v>
      </c>
      <c r="F186" s="31">
        <f>0.03*10^-6</f>
        <v>2.9999999999999997E-8</v>
      </c>
      <c r="G186" s="56"/>
      <c r="H186" s="11"/>
      <c r="I186" s="12"/>
      <c r="J186" s="12"/>
      <c r="K186" s="12"/>
      <c r="L186" s="12"/>
    </row>
    <row r="187" spans="1:15">
      <c r="A187" s="51">
        <v>3</v>
      </c>
      <c r="B187" s="31" t="s">
        <v>101</v>
      </c>
      <c r="C187" s="33">
        <v>1</v>
      </c>
      <c r="D187" s="29">
        <f>C187*E187</f>
        <v>2.9999999999999997E-8</v>
      </c>
      <c r="E187" s="30">
        <f>F187</f>
        <v>2.9999999999999997E-8</v>
      </c>
      <c r="F187" s="31">
        <f>0.03*10^-6</f>
        <v>2.9999999999999997E-8</v>
      </c>
      <c r="G187" s="56"/>
      <c r="H187" s="11"/>
      <c r="I187" s="12"/>
      <c r="J187" s="12"/>
      <c r="K187" s="12"/>
      <c r="L187" s="12"/>
    </row>
    <row r="188" spans="1:15" ht="15" thickBot="1"/>
    <row r="189" spans="1:15" ht="15" thickBot="1">
      <c r="C189" s="35" t="s">
        <v>75</v>
      </c>
      <c r="D189" s="36">
        <f>SUM(D185:D187)</f>
        <v>8.9999999999999985E-8</v>
      </c>
    </row>
    <row r="192" spans="1:15">
      <c r="A192" s="145" t="s">
        <v>108</v>
      </c>
      <c r="B192" s="145"/>
      <c r="C192" s="145"/>
      <c r="D192" s="145"/>
      <c r="E192" s="145"/>
      <c r="F192" s="145"/>
      <c r="G192" s="145"/>
      <c r="H192" s="145"/>
      <c r="I192" s="145"/>
      <c r="J192" s="145"/>
    </row>
    <row r="194" spans="1:15">
      <c r="A194" s="38" t="s">
        <v>109</v>
      </c>
      <c r="B194" s="38"/>
      <c r="C194" s="38"/>
    </row>
    <row r="195" spans="1:15">
      <c r="A195" s="11" t="s">
        <v>148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</row>
    <row r="196" spans="1: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2"/>
    </row>
    <row r="197" spans="1:15">
      <c r="A197" s="7" t="s">
        <v>17</v>
      </c>
      <c r="B197" s="11" t="s">
        <v>3</v>
      </c>
      <c r="H197" s="34">
        <f>0.01*10^-6</f>
        <v>1E-8</v>
      </c>
      <c r="I197" s="56" t="s">
        <v>121</v>
      </c>
      <c r="J197" s="11"/>
      <c r="K197" s="12"/>
      <c r="L197" s="12"/>
      <c r="M197" s="12"/>
      <c r="N197" s="12"/>
    </row>
    <row r="198" spans="1:15">
      <c r="A198" s="7"/>
      <c r="B198" s="11"/>
      <c r="H198" s="34"/>
      <c r="I198" s="11" t="s">
        <v>149</v>
      </c>
      <c r="J198" s="12"/>
      <c r="K198" s="12"/>
      <c r="L198" s="12"/>
      <c r="M198" s="12"/>
      <c r="N198" s="12"/>
      <c r="O198" s="12"/>
    </row>
    <row r="200" spans="1:15">
      <c r="A200" s="4" t="s">
        <v>0</v>
      </c>
      <c r="B200" s="4" t="s">
        <v>1</v>
      </c>
      <c r="C200" s="4" t="s">
        <v>2</v>
      </c>
      <c r="D200" s="6" t="s">
        <v>14</v>
      </c>
      <c r="E200" s="6" t="s">
        <v>15</v>
      </c>
      <c r="F200" s="6" t="s">
        <v>17</v>
      </c>
    </row>
    <row r="201" spans="1:15">
      <c r="A201" s="53">
        <v>1</v>
      </c>
      <c r="B201" s="31" t="s">
        <v>147</v>
      </c>
      <c r="C201" s="33">
        <v>2</v>
      </c>
      <c r="D201" s="29">
        <f>C201*E201</f>
        <v>2E-8</v>
      </c>
      <c r="E201" s="30">
        <f>F201</f>
        <v>1E-8</v>
      </c>
      <c r="F201" s="45">
        <f>0.01*10^-6</f>
        <v>1E-8</v>
      </c>
    </row>
    <row r="202" spans="1:15" ht="15" thickBot="1"/>
    <row r="203" spans="1:15" ht="15" thickBot="1">
      <c r="C203" s="35" t="s">
        <v>75</v>
      </c>
      <c r="D203" s="36">
        <f>SUM(D201:D201)</f>
        <v>2E-8</v>
      </c>
    </row>
    <row r="206" spans="1:15">
      <c r="A206" s="34" t="s">
        <v>104</v>
      </c>
      <c r="B206" s="34"/>
      <c r="C206" s="34"/>
    </row>
    <row r="207" spans="1:15">
      <c r="A207" s="11" t="s">
        <v>105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</row>
    <row r="209" spans="1:19">
      <c r="A209" s="7" t="s">
        <v>16</v>
      </c>
      <c r="B209" s="11" t="s">
        <v>37</v>
      </c>
      <c r="C209" s="15"/>
      <c r="E209" s="11"/>
      <c r="F209" s="11"/>
      <c r="G209" s="11"/>
      <c r="H209" s="1"/>
      <c r="I209" s="1"/>
      <c r="J209" s="1"/>
      <c r="K209" s="34">
        <f>0.0026*10^-6</f>
        <v>2.5999999999999997E-9</v>
      </c>
      <c r="L209" s="56" t="s">
        <v>115</v>
      </c>
      <c r="M209" s="11"/>
      <c r="N209" s="12"/>
      <c r="O209" s="12"/>
      <c r="P209" s="12"/>
      <c r="Q209" s="12"/>
      <c r="R209" s="12"/>
      <c r="S209" s="12"/>
    </row>
    <row r="210" spans="1:19">
      <c r="A210" s="22" t="s">
        <v>13</v>
      </c>
      <c r="B210" s="11" t="s">
        <v>89</v>
      </c>
      <c r="C210" s="26"/>
      <c r="D210" s="11"/>
      <c r="E210" s="11"/>
      <c r="F210" s="11"/>
      <c r="G210" s="1"/>
      <c r="H210" s="1"/>
      <c r="I210" s="1"/>
      <c r="J210" s="1"/>
      <c r="K210" s="1"/>
    </row>
    <row r="211" spans="1:19">
      <c r="A211" s="22" t="s">
        <v>6</v>
      </c>
      <c r="B211" s="11" t="s">
        <v>32</v>
      </c>
      <c r="C211" s="12"/>
      <c r="D211" s="12"/>
      <c r="E211" s="12"/>
      <c r="F211" s="12"/>
      <c r="I211" s="1"/>
      <c r="J211" s="1"/>
      <c r="K211" s="1"/>
    </row>
    <row r="212" spans="1:19">
      <c r="A212" s="22" t="s">
        <v>31</v>
      </c>
      <c r="B212" s="11" t="s">
        <v>33</v>
      </c>
      <c r="C212" s="12"/>
      <c r="D212" s="12"/>
      <c r="E212" s="12"/>
      <c r="F212" s="12"/>
      <c r="G212" s="12"/>
      <c r="H212" s="12"/>
      <c r="I212" s="12"/>
      <c r="J212" s="12"/>
      <c r="K212" s="3"/>
    </row>
    <row r="213" spans="1:19">
      <c r="A213" s="22" t="s">
        <v>7</v>
      </c>
      <c r="B213" s="11" t="s">
        <v>52</v>
      </c>
      <c r="F213" s="1"/>
      <c r="G213" s="1"/>
      <c r="H213" s="1"/>
      <c r="I213" s="1"/>
      <c r="J213" s="1"/>
    </row>
    <row r="214" spans="1:19">
      <c r="A214" s="22" t="s">
        <v>24</v>
      </c>
      <c r="B214" s="11" t="s">
        <v>35</v>
      </c>
      <c r="C214" s="12"/>
      <c r="D214" s="12"/>
      <c r="K214" s="12"/>
    </row>
    <row r="215" spans="1:19">
      <c r="K215" s="3"/>
    </row>
    <row r="216" spans="1:19">
      <c r="A216" s="4" t="s">
        <v>0</v>
      </c>
      <c r="B216" s="4" t="s">
        <v>1</v>
      </c>
      <c r="C216" s="4" t="s">
        <v>2</v>
      </c>
      <c r="D216" s="44" t="s">
        <v>80</v>
      </c>
      <c r="E216" s="6" t="s">
        <v>14</v>
      </c>
      <c r="F216" s="6" t="s">
        <v>15</v>
      </c>
      <c r="G216" s="6" t="s">
        <v>16</v>
      </c>
      <c r="H216" s="4" t="s">
        <v>13</v>
      </c>
      <c r="I216" s="4" t="s">
        <v>7</v>
      </c>
      <c r="J216" s="4" t="s">
        <v>6</v>
      </c>
      <c r="K216" s="4" t="s">
        <v>24</v>
      </c>
    </row>
    <row r="217" spans="1:19">
      <c r="A217" s="53">
        <v>1</v>
      </c>
      <c r="B217" s="31" t="s">
        <v>144</v>
      </c>
      <c r="C217" s="27">
        <v>1</v>
      </c>
      <c r="D217" s="28">
        <v>0.2</v>
      </c>
      <c r="E217" s="29">
        <f>C217*F217</f>
        <v>9.7759999999999981E-10</v>
      </c>
      <c r="F217" s="30">
        <f>G217*H217*I217*J217*K217</f>
        <v>9.7759999999999981E-10</v>
      </c>
      <c r="G217" s="31">
        <f>0.0026*10^-6</f>
        <v>2.5999999999999997E-9</v>
      </c>
      <c r="H217" s="24">
        <v>0.47</v>
      </c>
      <c r="I217" s="24">
        <f>1</f>
        <v>1</v>
      </c>
      <c r="J217" s="24">
        <v>4</v>
      </c>
      <c r="K217" s="28">
        <v>0.2</v>
      </c>
    </row>
    <row r="218" spans="1:19" ht="15" thickBot="1"/>
    <row r="219" spans="1:19" ht="15" thickBot="1">
      <c r="D219" s="35" t="s">
        <v>75</v>
      </c>
      <c r="E219" s="36">
        <f>SUM(E217)</f>
        <v>9.7759999999999981E-10</v>
      </c>
    </row>
    <row r="220" spans="1:19">
      <c r="D220" s="37"/>
    </row>
    <row r="224" spans="1:19" ht="15" thickBot="1"/>
    <row r="225" spans="2:6" ht="15" thickBot="1">
      <c r="B225" s="38"/>
      <c r="C225" s="59" t="s">
        <v>146</v>
      </c>
      <c r="D225" s="54">
        <f>SUM(E75,E99,E110,E121,G143,F164,E176,D189,D203,E219)</f>
        <v>2.8777875567999999E-7</v>
      </c>
      <c r="F225" t="s">
        <v>145</v>
      </c>
    </row>
  </sheetData>
  <mergeCells count="6">
    <mergeCell ref="A192:J192"/>
    <mergeCell ref="A124:Q124"/>
    <mergeCell ref="A146:Q146"/>
    <mergeCell ref="A2:Q2"/>
    <mergeCell ref="A54:Q54"/>
    <mergeCell ref="A77:Q7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8"/>
  <sheetViews>
    <sheetView zoomScale="120" zoomScaleNormal="120" workbookViewId="0">
      <selection activeCell="B13" sqref="A13:B13"/>
    </sheetView>
  </sheetViews>
  <sheetFormatPr defaultRowHeight="14.5"/>
  <cols>
    <col min="1" max="1" width="10.81640625" customWidth="1"/>
    <col min="2" max="2" width="45.81640625" customWidth="1"/>
    <col min="5" max="5" width="10.54296875" bestFit="1" customWidth="1"/>
    <col min="6" max="6" width="9.81640625" bestFit="1" customWidth="1"/>
    <col min="8" max="8" width="9.26953125" bestFit="1" customWidth="1"/>
  </cols>
  <sheetData>
    <row r="2" spans="1:17">
      <c r="A2" s="147" t="s">
        <v>293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1:17">
      <c r="A4" s="11" t="s">
        <v>150</v>
      </c>
      <c r="B4" s="11"/>
    </row>
    <row r="5" spans="1:17">
      <c r="A5" s="11" t="s">
        <v>26</v>
      </c>
      <c r="B5" s="11"/>
    </row>
    <row r="6" spans="1:17">
      <c r="A6" s="11" t="s">
        <v>291</v>
      </c>
      <c r="B6" s="11"/>
    </row>
    <row r="7" spans="1:17">
      <c r="A7" s="11"/>
      <c r="B7" s="11"/>
      <c r="C7" s="15"/>
    </row>
    <row r="8" spans="1:17">
      <c r="A8" s="11"/>
      <c r="B8" s="11"/>
      <c r="C8" s="15"/>
    </row>
    <row r="9" spans="1:17">
      <c r="A9" s="11"/>
      <c r="B9" s="11"/>
      <c r="C9" s="15"/>
    </row>
    <row r="10" spans="1:17">
      <c r="A10" s="34" t="s">
        <v>69</v>
      </c>
      <c r="B10" s="34"/>
      <c r="C10" s="34"/>
    </row>
    <row r="11" spans="1:17">
      <c r="A11" s="11" t="s">
        <v>292</v>
      </c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</row>
    <row r="12" spans="1:17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2"/>
      <c r="L12" s="12"/>
      <c r="M12" s="12"/>
      <c r="N12" s="12"/>
    </row>
    <row r="13" spans="1:17">
      <c r="A13" s="7" t="s">
        <v>15</v>
      </c>
      <c r="B13" s="11" t="s">
        <v>239</v>
      </c>
      <c r="H13" s="34">
        <f>0.01*10^-6</f>
        <v>1E-8</v>
      </c>
    </row>
    <row r="14" spans="1:17">
      <c r="A14" s="22" t="s">
        <v>236</v>
      </c>
      <c r="B14" s="11" t="s">
        <v>297</v>
      </c>
      <c r="C14" s="26"/>
      <c r="D14" s="11"/>
      <c r="E14" s="11"/>
      <c r="F14" s="11"/>
      <c r="G14" s="1"/>
    </row>
    <row r="16" spans="1:17">
      <c r="A16" s="61" t="s">
        <v>151</v>
      </c>
      <c r="B16" s="4" t="s">
        <v>1</v>
      </c>
      <c r="C16" s="4" t="s">
        <v>2</v>
      </c>
      <c r="D16" s="8" t="s">
        <v>73</v>
      </c>
      <c r="E16" s="6" t="s">
        <v>196</v>
      </c>
      <c r="F16" s="6" t="s">
        <v>15</v>
      </c>
      <c r="G16" s="42" t="s">
        <v>235</v>
      </c>
    </row>
    <row r="17" spans="1:15">
      <c r="A17" s="82" t="s">
        <v>206</v>
      </c>
      <c r="B17" s="31" t="s">
        <v>296</v>
      </c>
      <c r="C17" s="27">
        <v>2</v>
      </c>
      <c r="D17" s="28">
        <v>0.1</v>
      </c>
      <c r="E17" s="29">
        <f>C17*F17</f>
        <v>2E-8</v>
      </c>
      <c r="F17" s="30">
        <f>0.01*10^-6</f>
        <v>1E-8</v>
      </c>
      <c r="G17" s="28">
        <v>30</v>
      </c>
    </row>
    <row r="19" spans="1:15">
      <c r="D19" s="37"/>
    </row>
    <row r="20" spans="1:15">
      <c r="A20" s="25" t="s">
        <v>45</v>
      </c>
    </row>
    <row r="22" spans="1:15">
      <c r="A22" s="61" t="s">
        <v>151</v>
      </c>
      <c r="B22" s="65" t="s">
        <v>1</v>
      </c>
      <c r="C22" s="4" t="s">
        <v>2</v>
      </c>
      <c r="D22" s="4" t="s">
        <v>73</v>
      </c>
      <c r="E22" s="6" t="s">
        <v>196</v>
      </c>
      <c r="F22" s="6" t="s">
        <v>15</v>
      </c>
      <c r="G22" s="6" t="s">
        <v>17</v>
      </c>
      <c r="H22" s="17" t="s">
        <v>4</v>
      </c>
      <c r="I22" s="17" t="s">
        <v>234</v>
      </c>
      <c r="J22" s="17" t="s">
        <v>20</v>
      </c>
      <c r="K22" s="42" t="s">
        <v>21</v>
      </c>
      <c r="L22" s="17" t="s">
        <v>22</v>
      </c>
      <c r="M22" s="17" t="s">
        <v>23</v>
      </c>
      <c r="N22" s="19" t="s">
        <v>24</v>
      </c>
      <c r="O22" s="42" t="s">
        <v>235</v>
      </c>
    </row>
    <row r="23" spans="1:15">
      <c r="A23" s="90" t="s">
        <v>294</v>
      </c>
      <c r="B23" s="80" t="s">
        <v>171</v>
      </c>
      <c r="C23" s="149" t="s">
        <v>172</v>
      </c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</row>
    <row r="24" spans="1:15">
      <c r="A24" s="90" t="s">
        <v>295</v>
      </c>
      <c r="B24" s="80" t="s">
        <v>171</v>
      </c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</row>
    <row r="27" spans="1:15" ht="15" thickBot="1"/>
    <row r="28" spans="1:15" ht="15" thickBot="1">
      <c r="D28" s="128" t="s">
        <v>152</v>
      </c>
      <c r="E28" s="122">
        <f>E17</f>
        <v>2E-8</v>
      </c>
    </row>
  </sheetData>
  <mergeCells count="2">
    <mergeCell ref="A2:Q2"/>
    <mergeCell ref="C23:O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88"/>
  <sheetViews>
    <sheetView tabSelected="1" topLeftCell="A9" zoomScale="119" zoomScaleNormal="158" workbookViewId="0">
      <selection activeCell="H23" sqref="H23"/>
    </sheetView>
  </sheetViews>
  <sheetFormatPr defaultRowHeight="14.5"/>
  <cols>
    <col min="2" max="2" width="51.453125" customWidth="1"/>
    <col min="3" max="4" width="8.90625" bestFit="1" customWidth="1"/>
    <col min="5" max="5" width="11.26953125" customWidth="1"/>
    <col min="6" max="6" width="11.1796875" bestFit="1" customWidth="1"/>
    <col min="7" max="7" width="12.1796875" bestFit="1" customWidth="1"/>
    <col min="8" max="8" width="12.453125" bestFit="1" customWidth="1"/>
    <col min="9" max="9" width="9.26953125" bestFit="1" customWidth="1"/>
    <col min="10" max="13" width="8.90625" bestFit="1" customWidth="1"/>
    <col min="14" max="15" width="8.81640625" bestFit="1" customWidth="1"/>
  </cols>
  <sheetData>
    <row r="2" spans="1:17">
      <c r="A2" s="147" t="s">
        <v>298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1:17">
      <c r="A4" s="11" t="s">
        <v>150</v>
      </c>
      <c r="B4" s="11"/>
    </row>
    <row r="5" spans="1:17">
      <c r="A5" s="11" t="s">
        <v>26</v>
      </c>
      <c r="B5" s="11"/>
    </row>
    <row r="6" spans="1:17">
      <c r="A6" s="11" t="s">
        <v>291</v>
      </c>
      <c r="B6" s="11"/>
    </row>
    <row r="7" spans="1:17">
      <c r="A7" s="11"/>
      <c r="B7" s="11"/>
      <c r="C7" s="15"/>
    </row>
    <row r="8" spans="1:17">
      <c r="A8" s="11"/>
      <c r="B8" s="11"/>
      <c r="C8" s="15"/>
    </row>
    <row r="10" spans="1:17">
      <c r="A10" s="25" t="s">
        <v>44</v>
      </c>
      <c r="B10" s="25"/>
      <c r="C10" s="25"/>
      <c r="D10" s="25"/>
      <c r="E10" s="25"/>
      <c r="F10" s="11"/>
      <c r="G10" s="25"/>
      <c r="H10" s="1"/>
      <c r="I10" s="1"/>
      <c r="N10" s="1"/>
      <c r="O10" s="1"/>
    </row>
    <row r="11" spans="1:17">
      <c r="A11" s="11" t="s">
        <v>197</v>
      </c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1"/>
      <c r="O11" s="11"/>
    </row>
    <row r="12" spans="1:17">
      <c r="A12" s="7" t="s">
        <v>15</v>
      </c>
      <c r="B12" s="11" t="s">
        <v>239</v>
      </c>
      <c r="L12" s="1"/>
      <c r="M12" s="1"/>
      <c r="N12" s="1"/>
      <c r="O12" s="1"/>
    </row>
    <row r="13" spans="1:17">
      <c r="A13" s="7" t="s">
        <v>16</v>
      </c>
      <c r="B13" s="11" t="s">
        <v>37</v>
      </c>
      <c r="C13" s="15"/>
      <c r="E13" s="11"/>
      <c r="F13" s="11"/>
      <c r="H13" s="1"/>
      <c r="I13" s="34">
        <f>0.0207*10^-6</f>
        <v>2.07E-8</v>
      </c>
      <c r="J13" s="56" t="s">
        <v>111</v>
      </c>
      <c r="K13" s="11"/>
      <c r="L13" s="12"/>
      <c r="M13" s="12"/>
      <c r="N13" s="12"/>
      <c r="O13" s="12"/>
      <c r="P13" s="12"/>
      <c r="Q13" s="12"/>
    </row>
    <row r="14" spans="1:17">
      <c r="A14" s="22" t="s">
        <v>4</v>
      </c>
      <c r="B14" s="11" t="s">
        <v>38</v>
      </c>
      <c r="C14" s="26"/>
      <c r="D14" s="11"/>
      <c r="E14" s="11"/>
      <c r="F14" s="11"/>
      <c r="G14" s="1"/>
      <c r="H14" s="1"/>
      <c r="I14" s="1"/>
      <c r="J14" s="1"/>
      <c r="K14" s="1"/>
      <c r="L14" s="2"/>
      <c r="M14" s="1"/>
      <c r="N14" s="9"/>
      <c r="O14" s="1"/>
    </row>
    <row r="15" spans="1:17">
      <c r="A15" s="22" t="s">
        <v>6</v>
      </c>
      <c r="B15" s="11" t="s">
        <v>32</v>
      </c>
      <c r="C15" s="12"/>
      <c r="D15" s="12"/>
      <c r="E15" s="12"/>
      <c r="F15" s="12"/>
      <c r="I15" s="1"/>
      <c r="J15" s="1"/>
      <c r="K15" s="1"/>
      <c r="L15" s="2"/>
      <c r="M15" s="1"/>
      <c r="N15" s="1"/>
      <c r="O15" s="1"/>
    </row>
    <row r="16" spans="1:17">
      <c r="A16" s="22" t="s">
        <v>7</v>
      </c>
      <c r="B16" s="11" t="s">
        <v>42</v>
      </c>
      <c r="C16" s="12"/>
      <c r="D16" s="11"/>
      <c r="E16" s="11"/>
      <c r="F16" s="11"/>
      <c r="G16" s="1"/>
      <c r="H16" s="1"/>
      <c r="I16" s="1"/>
      <c r="J16" s="1"/>
      <c r="K16" s="1"/>
      <c r="L16" s="2"/>
      <c r="M16" s="1"/>
      <c r="N16" s="1"/>
      <c r="O16" s="1"/>
    </row>
    <row r="17" spans="1:15">
      <c r="A17" s="23" t="s">
        <v>40</v>
      </c>
      <c r="B17" s="11" t="s">
        <v>41</v>
      </c>
      <c r="C17" s="11"/>
      <c r="D17" s="1"/>
      <c r="E17" s="1"/>
      <c r="F17" s="1"/>
      <c r="G17" s="1"/>
      <c r="H17" s="1"/>
      <c r="I17" s="1"/>
      <c r="J17" s="1"/>
      <c r="K17" s="3"/>
      <c r="L17" s="2"/>
      <c r="M17" s="1"/>
      <c r="N17" s="1"/>
      <c r="O17" s="1"/>
    </row>
    <row r="18" spans="1:15">
      <c r="A18" s="22" t="s">
        <v>31</v>
      </c>
      <c r="B18" s="11" t="s">
        <v>33</v>
      </c>
      <c r="C18" s="12"/>
      <c r="D18" s="12"/>
      <c r="E18" s="12"/>
      <c r="F18" s="12"/>
      <c r="G18" s="12"/>
      <c r="H18" s="12"/>
      <c r="I18" s="12"/>
      <c r="J18" s="12"/>
      <c r="K18" s="12"/>
    </row>
    <row r="19" spans="1:15">
      <c r="A19" s="22" t="s">
        <v>24</v>
      </c>
      <c r="B19" s="11" t="s">
        <v>35</v>
      </c>
      <c r="C19" s="12"/>
      <c r="D19" s="12"/>
      <c r="E19" s="12"/>
      <c r="F19" s="12"/>
      <c r="G19" s="12"/>
      <c r="H19" s="12"/>
      <c r="I19" s="12"/>
      <c r="J19" s="12"/>
      <c r="K19" s="12"/>
    </row>
    <row r="20" spans="1:15">
      <c r="A20" s="22" t="s">
        <v>236</v>
      </c>
      <c r="B20" s="11" t="s">
        <v>297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5">
      <c r="D21" s="12"/>
      <c r="F21" s="1"/>
      <c r="G21" s="1"/>
      <c r="H21" s="1"/>
      <c r="I21" s="1"/>
      <c r="J21" s="1"/>
      <c r="K21" s="3"/>
    </row>
    <row r="22" spans="1:15">
      <c r="A22" s="61" t="s">
        <v>151</v>
      </c>
      <c r="B22" s="4" t="s">
        <v>1</v>
      </c>
      <c r="C22" s="4" t="s">
        <v>2</v>
      </c>
      <c r="D22" s="44" t="s">
        <v>74</v>
      </c>
      <c r="E22" s="6" t="s">
        <v>196</v>
      </c>
      <c r="F22" s="6" t="s">
        <v>15</v>
      </c>
      <c r="G22" s="6" t="s">
        <v>153</v>
      </c>
      <c r="H22" s="4" t="s">
        <v>4</v>
      </c>
      <c r="I22" s="4" t="s">
        <v>43</v>
      </c>
      <c r="J22" s="4" t="s">
        <v>6</v>
      </c>
      <c r="K22" s="4" t="s">
        <v>24</v>
      </c>
      <c r="L22" s="17" t="s">
        <v>23</v>
      </c>
      <c r="M22" s="42" t="s">
        <v>235</v>
      </c>
    </row>
    <row r="23" spans="1:15">
      <c r="A23" s="62" t="s">
        <v>154</v>
      </c>
      <c r="B23" s="45" t="s">
        <v>299</v>
      </c>
      <c r="C23" s="27">
        <v>1</v>
      </c>
      <c r="D23" s="28">
        <v>0.1</v>
      </c>
      <c r="E23" s="83">
        <f t="shared" ref="E23:E28" si="0">C23*F23</f>
        <v>2.8963440000000007E-10</v>
      </c>
      <c r="F23" s="84">
        <f>G23*H23*I23*J23*K23*L23</f>
        <v>2.8963440000000007E-10</v>
      </c>
      <c r="G23" s="30">
        <f t="shared" ref="G23:G28" si="1">0.0207*10^-6</f>
        <v>2.07E-8</v>
      </c>
      <c r="H23" s="24">
        <v>3.3000000000000002E-2</v>
      </c>
      <c r="I23" s="24">
        <f>0.53</f>
        <v>0.53</v>
      </c>
      <c r="J23" s="24">
        <v>4</v>
      </c>
      <c r="K23" s="28">
        <v>0.2</v>
      </c>
      <c r="L23" s="24">
        <v>1</v>
      </c>
      <c r="M23" s="28">
        <v>30</v>
      </c>
    </row>
    <row r="24" spans="1:15">
      <c r="A24" s="62" t="s">
        <v>155</v>
      </c>
      <c r="B24" s="45" t="s">
        <v>300</v>
      </c>
      <c r="C24" s="27">
        <v>1</v>
      </c>
      <c r="D24" s="28">
        <v>0.21</v>
      </c>
      <c r="E24" s="83">
        <f t="shared" si="0"/>
        <v>1.2176567999999999E-9</v>
      </c>
      <c r="F24" s="84">
        <f t="shared" ref="F24:F28" si="2">G24*H24*I24*J24*K24*L24</f>
        <v>1.2176567999999999E-9</v>
      </c>
      <c r="G24" s="30">
        <f t="shared" si="1"/>
        <v>2.07E-8</v>
      </c>
      <c r="H24" s="24">
        <v>4.2999999999999997E-2</v>
      </c>
      <c r="I24" s="24">
        <f>1.71</f>
        <v>1.71</v>
      </c>
      <c r="J24" s="24">
        <v>4</v>
      </c>
      <c r="K24" s="28">
        <v>0.2</v>
      </c>
      <c r="L24" s="24">
        <v>1</v>
      </c>
      <c r="M24" s="28">
        <v>30</v>
      </c>
    </row>
    <row r="25" spans="1:15">
      <c r="A25" s="62" t="s">
        <v>156</v>
      </c>
      <c r="B25" s="45" t="s">
        <v>300</v>
      </c>
      <c r="C25" s="27">
        <v>1</v>
      </c>
      <c r="D25" s="28">
        <v>0.21</v>
      </c>
      <c r="E25" s="83">
        <f t="shared" si="0"/>
        <v>1.2176567999999999E-9</v>
      </c>
      <c r="F25" s="84">
        <f t="shared" si="2"/>
        <v>1.2176567999999999E-9</v>
      </c>
      <c r="G25" s="30">
        <f t="shared" si="1"/>
        <v>2.07E-8</v>
      </c>
      <c r="H25" s="24">
        <v>4.2999999999999997E-2</v>
      </c>
      <c r="I25" s="24">
        <f>1.71</f>
        <v>1.71</v>
      </c>
      <c r="J25" s="24">
        <v>4</v>
      </c>
      <c r="K25" s="28">
        <v>0.2</v>
      </c>
      <c r="L25" s="24">
        <v>1</v>
      </c>
      <c r="M25" s="28">
        <v>30</v>
      </c>
    </row>
    <row r="26" spans="1:15">
      <c r="A26" s="62" t="s">
        <v>157</v>
      </c>
      <c r="B26" s="45" t="s">
        <v>195</v>
      </c>
      <c r="C26" s="27">
        <v>1</v>
      </c>
      <c r="D26" s="28">
        <v>0.1</v>
      </c>
      <c r="E26" s="83">
        <f t="shared" si="0"/>
        <v>3.8253600000000002E-10</v>
      </c>
      <c r="F26" s="84">
        <f t="shared" si="2"/>
        <v>3.8253600000000002E-10</v>
      </c>
      <c r="G26" s="30">
        <f t="shared" si="1"/>
        <v>2.07E-8</v>
      </c>
      <c r="H26" s="24">
        <v>3.3000000000000002E-2</v>
      </c>
      <c r="I26" s="24">
        <f>0.7</f>
        <v>0.7</v>
      </c>
      <c r="J26" s="24">
        <v>4</v>
      </c>
      <c r="K26" s="28">
        <v>0.2</v>
      </c>
      <c r="L26" s="24">
        <v>1</v>
      </c>
      <c r="M26" s="28">
        <v>30</v>
      </c>
    </row>
    <row r="27" spans="1:15">
      <c r="A27" s="62" t="s">
        <v>158</v>
      </c>
      <c r="B27" s="45" t="s">
        <v>299</v>
      </c>
      <c r="C27" s="27">
        <v>1</v>
      </c>
      <c r="D27" s="28">
        <v>0.1</v>
      </c>
      <c r="E27" s="83">
        <f t="shared" si="0"/>
        <v>2.8963440000000007E-10</v>
      </c>
      <c r="F27" s="84">
        <f t="shared" si="2"/>
        <v>2.8963440000000007E-10</v>
      </c>
      <c r="G27" s="30">
        <f t="shared" si="1"/>
        <v>2.07E-8</v>
      </c>
      <c r="H27" s="24">
        <v>3.3000000000000002E-2</v>
      </c>
      <c r="I27" s="24">
        <f>0.53</f>
        <v>0.53</v>
      </c>
      <c r="J27" s="24">
        <v>4</v>
      </c>
      <c r="K27" s="28">
        <v>0.2</v>
      </c>
      <c r="L27" s="24">
        <v>1</v>
      </c>
      <c r="M27" s="28">
        <v>30</v>
      </c>
    </row>
    <row r="28" spans="1:15">
      <c r="A28" s="62" t="s">
        <v>159</v>
      </c>
      <c r="B28" s="45" t="s">
        <v>299</v>
      </c>
      <c r="C28" s="27">
        <v>1</v>
      </c>
      <c r="D28" s="28">
        <v>0.1</v>
      </c>
      <c r="E28" s="83">
        <f t="shared" si="0"/>
        <v>2.8963440000000007E-10</v>
      </c>
      <c r="F28" s="84">
        <f t="shared" si="2"/>
        <v>2.8963440000000007E-10</v>
      </c>
      <c r="G28" s="30">
        <f t="shared" si="1"/>
        <v>2.07E-8</v>
      </c>
      <c r="H28" s="24">
        <v>3.3000000000000002E-2</v>
      </c>
      <c r="I28" s="24">
        <f>0.53</f>
        <v>0.53</v>
      </c>
      <c r="J28" s="24">
        <v>4</v>
      </c>
      <c r="K28" s="28">
        <v>0.2</v>
      </c>
      <c r="L28" s="24">
        <v>1</v>
      </c>
      <c r="M28" s="28">
        <v>30</v>
      </c>
    </row>
    <row r="29" spans="1:15" ht="15" thickBot="1"/>
    <row r="30" spans="1:15" ht="15" thickBot="1">
      <c r="D30" s="128" t="s">
        <v>75</v>
      </c>
      <c r="E30" s="122">
        <f>SUM(E23:E28)</f>
        <v>3.6867528000000004E-9</v>
      </c>
    </row>
    <row r="31" spans="1:15">
      <c r="D31" s="35"/>
    </row>
    <row r="33" spans="1:14">
      <c r="A33" s="34" t="s">
        <v>49</v>
      </c>
      <c r="C33" s="63"/>
      <c r="D33" s="37"/>
    </row>
    <row r="34" spans="1:14">
      <c r="A34" s="11" t="s">
        <v>302</v>
      </c>
      <c r="B34" s="34"/>
    </row>
    <row r="35" spans="1:14">
      <c r="B35" s="11"/>
      <c r="C35" s="34"/>
      <c r="D35" s="34"/>
      <c r="E35" s="34"/>
    </row>
    <row r="36" spans="1:14">
      <c r="A36" s="7" t="s">
        <v>15</v>
      </c>
      <c r="B36" s="11" t="s">
        <v>239</v>
      </c>
      <c r="C36" s="11"/>
      <c r="D36" s="11"/>
      <c r="E36" s="11"/>
      <c r="F36" s="11"/>
      <c r="G36" s="11"/>
      <c r="H36" s="11"/>
      <c r="I36" s="11"/>
      <c r="J36" s="11"/>
      <c r="K36" s="12"/>
      <c r="L36" s="12"/>
      <c r="M36" s="12"/>
      <c r="N36" s="12"/>
    </row>
    <row r="37" spans="1:14">
      <c r="A37" s="22" t="s">
        <v>236</v>
      </c>
      <c r="B37" s="11" t="s">
        <v>297</v>
      </c>
    </row>
    <row r="38" spans="1:14">
      <c r="C38" s="15"/>
      <c r="I38" s="12"/>
      <c r="J38" s="12"/>
      <c r="K38" s="12"/>
      <c r="L38" s="12"/>
      <c r="M38" s="12"/>
      <c r="N38" s="12"/>
    </row>
    <row r="39" spans="1:14">
      <c r="C39" s="15"/>
      <c r="E39" s="11" t="s">
        <v>136</v>
      </c>
      <c r="F39" s="108">
        <f>0.015*10^-6</f>
        <v>1.4999999999999999E-8</v>
      </c>
      <c r="G39" s="11" t="s">
        <v>494</v>
      </c>
      <c r="K39" s="12"/>
      <c r="L39" s="12"/>
      <c r="M39" s="12"/>
      <c r="N39" s="12"/>
    </row>
    <row r="41" spans="1:14">
      <c r="A41" s="61" t="s">
        <v>151</v>
      </c>
      <c r="B41" s="4" t="s">
        <v>1</v>
      </c>
      <c r="C41" s="4" t="s">
        <v>2</v>
      </c>
      <c r="D41" s="5" t="s">
        <v>8</v>
      </c>
      <c r="E41" s="64" t="s">
        <v>79</v>
      </c>
      <c r="F41" s="41" t="s">
        <v>57</v>
      </c>
      <c r="G41" s="6" t="s">
        <v>196</v>
      </c>
      <c r="H41" s="6" t="s">
        <v>15</v>
      </c>
      <c r="I41" s="42" t="s">
        <v>235</v>
      </c>
    </row>
    <row r="42" spans="1:14">
      <c r="A42" s="62" t="s">
        <v>163</v>
      </c>
      <c r="B42" s="31" t="s">
        <v>301</v>
      </c>
      <c r="C42" s="27">
        <v>1</v>
      </c>
      <c r="D42" s="28">
        <v>5.2</v>
      </c>
      <c r="E42" s="28">
        <v>200</v>
      </c>
      <c r="F42" s="28" t="s">
        <v>58</v>
      </c>
      <c r="G42" s="29">
        <f>C42*H42</f>
        <v>1.4999999999999999E-8</v>
      </c>
      <c r="H42" s="30">
        <f>F39</f>
        <v>1.4999999999999999E-8</v>
      </c>
      <c r="I42" s="28">
        <v>35</v>
      </c>
    </row>
    <row r="43" spans="1:14" ht="15" thickBot="1"/>
    <row r="44" spans="1:14" ht="15" thickBot="1">
      <c r="F44" s="128" t="s">
        <v>75</v>
      </c>
      <c r="G44" s="121">
        <f>SUM(G42)</f>
        <v>1.4999999999999999E-8</v>
      </c>
    </row>
    <row r="47" spans="1:14">
      <c r="A47" s="34" t="s">
        <v>104</v>
      </c>
      <c r="B47" s="34"/>
      <c r="C47" s="34"/>
    </row>
    <row r="48" spans="1:14">
      <c r="A48" s="11" t="s">
        <v>303</v>
      </c>
      <c r="B48" s="11"/>
      <c r="C48" s="11"/>
      <c r="D48" s="11"/>
      <c r="E48" s="11"/>
      <c r="F48" s="11"/>
      <c r="G48" s="11"/>
    </row>
    <row r="49" spans="1:14">
      <c r="H49" s="11"/>
      <c r="I49" s="11"/>
      <c r="J49" s="11"/>
      <c r="K49" s="12"/>
      <c r="L49" s="12"/>
      <c r="M49" s="12"/>
      <c r="N49" s="12"/>
    </row>
    <row r="50" spans="1:14">
      <c r="A50" s="7" t="s">
        <v>16</v>
      </c>
      <c r="B50" s="11" t="s">
        <v>37</v>
      </c>
      <c r="C50" s="15"/>
      <c r="E50" s="11"/>
      <c r="F50" s="11"/>
      <c r="G50" s="34">
        <f>0.0026*10^-6</f>
        <v>2.5999999999999997E-9</v>
      </c>
      <c r="H50" s="11" t="s">
        <v>198</v>
      </c>
    </row>
    <row r="51" spans="1:14">
      <c r="A51" s="22" t="s">
        <v>4</v>
      </c>
      <c r="B51" s="11" t="s">
        <v>38</v>
      </c>
      <c r="C51" s="26"/>
      <c r="D51" s="11"/>
      <c r="E51" s="11"/>
      <c r="F51" s="11"/>
      <c r="G51" s="1"/>
      <c r="I51" s="12"/>
      <c r="J51" s="12"/>
      <c r="K51" s="12"/>
      <c r="L51" s="12"/>
      <c r="M51" s="12"/>
      <c r="N51" s="12"/>
    </row>
    <row r="52" spans="1:14">
      <c r="A52" s="22" t="s">
        <v>6</v>
      </c>
      <c r="B52" s="11" t="s">
        <v>32</v>
      </c>
      <c r="C52" s="12"/>
      <c r="D52" s="12"/>
      <c r="E52" s="12"/>
      <c r="F52" s="12"/>
      <c r="H52" s="1"/>
      <c r="I52" s="1"/>
      <c r="J52" s="1"/>
      <c r="K52" s="1"/>
    </row>
    <row r="53" spans="1:14">
      <c r="A53" s="22" t="s">
        <v>7</v>
      </c>
      <c r="B53" s="11" t="s">
        <v>42</v>
      </c>
      <c r="C53" s="12"/>
      <c r="D53" s="11"/>
      <c r="E53" s="11"/>
      <c r="F53" s="11"/>
      <c r="G53" s="1"/>
      <c r="I53" s="1"/>
      <c r="J53" s="1"/>
      <c r="K53" s="1"/>
    </row>
    <row r="54" spans="1:14">
      <c r="A54" s="22" t="s">
        <v>236</v>
      </c>
      <c r="B54" s="11" t="s">
        <v>297</v>
      </c>
      <c r="H54" s="1"/>
      <c r="I54" s="1"/>
      <c r="J54" s="1"/>
      <c r="K54" s="1"/>
    </row>
    <row r="55" spans="1:14">
      <c r="K55" s="3"/>
    </row>
    <row r="56" spans="1:14">
      <c r="A56" s="61" t="s">
        <v>151</v>
      </c>
      <c r="B56" s="4" t="s">
        <v>1</v>
      </c>
      <c r="C56" s="4" t="s">
        <v>2</v>
      </c>
      <c r="D56" s="44" t="s">
        <v>80</v>
      </c>
      <c r="E56" s="6" t="s">
        <v>196</v>
      </c>
      <c r="F56" s="6" t="s">
        <v>15</v>
      </c>
      <c r="G56" s="6" t="s">
        <v>16</v>
      </c>
      <c r="H56" s="4" t="s">
        <v>4</v>
      </c>
      <c r="I56" s="4" t="s">
        <v>6</v>
      </c>
      <c r="J56" s="4" t="s">
        <v>24</v>
      </c>
      <c r="K56" s="17" t="s">
        <v>23</v>
      </c>
      <c r="L56" s="42" t="s">
        <v>235</v>
      </c>
    </row>
    <row r="57" spans="1:14">
      <c r="A57" s="62" t="s">
        <v>269</v>
      </c>
      <c r="B57" s="79" t="s">
        <v>304</v>
      </c>
      <c r="C57" s="27">
        <v>1</v>
      </c>
      <c r="D57" s="28">
        <v>0.1</v>
      </c>
      <c r="E57" s="83">
        <f>C57*F57</f>
        <v>9.7759999999999981E-10</v>
      </c>
      <c r="F57" s="84">
        <f>G57*H57*J57*I57*K57</f>
        <v>9.7759999999999981E-10</v>
      </c>
      <c r="G57" s="40">
        <f>G50</f>
        <v>2.5999999999999997E-9</v>
      </c>
      <c r="H57" s="24">
        <v>0.47</v>
      </c>
      <c r="I57" s="24">
        <v>4</v>
      </c>
      <c r="J57" s="28">
        <v>0.2</v>
      </c>
      <c r="K57" s="24">
        <v>1</v>
      </c>
      <c r="L57" s="28">
        <v>30</v>
      </c>
    </row>
    <row r="58" spans="1:14" ht="15" thickBot="1"/>
    <row r="59" spans="1:14" ht="15" thickBot="1">
      <c r="D59" s="128" t="s">
        <v>75</v>
      </c>
      <c r="E59" s="122">
        <f>SUM(E57)</f>
        <v>9.7759999999999981E-10</v>
      </c>
    </row>
    <row r="62" spans="1:14">
      <c r="A62" s="25" t="s">
        <v>45</v>
      </c>
      <c r="B62" s="25"/>
      <c r="C62" s="25"/>
      <c r="D62" s="25"/>
      <c r="E62" s="25"/>
      <c r="F62" s="11"/>
      <c r="G62" s="25"/>
    </row>
    <row r="63" spans="1:14">
      <c r="A63" s="11" t="s">
        <v>227</v>
      </c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</row>
    <row r="64" spans="1:14">
      <c r="A64" s="12"/>
      <c r="B64" s="11"/>
      <c r="C64" s="12"/>
      <c r="D64" s="12"/>
      <c r="E64" s="12"/>
      <c r="F64" s="12"/>
      <c r="G64" s="12"/>
      <c r="H64" s="12"/>
      <c r="I64" s="12"/>
      <c r="J64" s="12"/>
      <c r="K64" s="14"/>
      <c r="L64" s="15"/>
      <c r="M64" s="11"/>
    </row>
    <row r="65" spans="1:17">
      <c r="A65" s="7" t="s">
        <v>17</v>
      </c>
      <c r="B65" s="11" t="s">
        <v>3</v>
      </c>
      <c r="C65" s="12"/>
      <c r="G65" s="58" t="s">
        <v>122</v>
      </c>
      <c r="H65" s="34">
        <f>0.049*10^-6</f>
        <v>4.9000000000000002E-8</v>
      </c>
      <c r="I65" s="11" t="s">
        <v>123</v>
      </c>
      <c r="J65" s="11"/>
      <c r="K65" s="13"/>
      <c r="L65" s="11"/>
      <c r="M65" s="11"/>
      <c r="N65" s="11"/>
    </row>
    <row r="66" spans="1:17">
      <c r="A66" s="22" t="s">
        <v>4</v>
      </c>
      <c r="B66" s="11" t="s">
        <v>38</v>
      </c>
      <c r="C66" s="12"/>
      <c r="D66" s="12"/>
      <c r="E66" s="12"/>
      <c r="F66" s="12"/>
      <c r="G66" s="58"/>
      <c r="H66" s="34"/>
      <c r="I66" s="11"/>
      <c r="J66" s="11"/>
      <c r="K66" s="13"/>
      <c r="L66" s="11"/>
      <c r="M66" s="11"/>
      <c r="N66" s="11"/>
    </row>
    <row r="67" spans="1:17">
      <c r="A67" s="23" t="s">
        <v>234</v>
      </c>
      <c r="B67" s="11" t="s">
        <v>28</v>
      </c>
      <c r="C67" s="11"/>
      <c r="D67" s="12"/>
      <c r="E67" s="12"/>
      <c r="F67" s="12"/>
      <c r="G67" s="12"/>
      <c r="H67" s="12"/>
      <c r="I67" s="12"/>
      <c r="J67" s="12"/>
      <c r="K67" s="14"/>
      <c r="L67" s="15"/>
      <c r="M67" s="11"/>
    </row>
    <row r="68" spans="1:17">
      <c r="A68" s="23" t="s">
        <v>20</v>
      </c>
      <c r="B68" s="11" t="s">
        <v>29</v>
      </c>
      <c r="C68" s="11"/>
      <c r="D68" s="12"/>
      <c r="E68" s="12"/>
      <c r="F68" s="12"/>
      <c r="G68" s="12"/>
      <c r="H68" s="12"/>
      <c r="I68" s="12"/>
      <c r="J68" s="12"/>
      <c r="K68" s="14"/>
      <c r="L68" s="15"/>
      <c r="M68" s="11"/>
    </row>
    <row r="69" spans="1:17">
      <c r="A69" s="23" t="s">
        <v>21</v>
      </c>
      <c r="B69" s="11" t="s">
        <v>30</v>
      </c>
      <c r="C69" s="12"/>
      <c r="D69" s="12"/>
      <c r="E69" s="12"/>
      <c r="F69" s="12"/>
      <c r="G69" s="12"/>
      <c r="H69" s="12"/>
      <c r="I69" s="12"/>
      <c r="J69" s="12"/>
      <c r="K69" s="14"/>
      <c r="L69" s="15"/>
      <c r="M69" s="11"/>
    </row>
    <row r="70" spans="1:17">
      <c r="A70" s="22" t="s">
        <v>6</v>
      </c>
      <c r="B70" s="11" t="s">
        <v>32</v>
      </c>
      <c r="C70" s="12"/>
      <c r="D70" s="12"/>
      <c r="E70" s="12"/>
      <c r="F70" s="12"/>
      <c r="G70" s="11"/>
      <c r="H70" s="12"/>
      <c r="I70" s="12"/>
      <c r="J70" s="12"/>
      <c r="K70" s="14"/>
      <c r="L70" s="16"/>
      <c r="M70" s="12"/>
    </row>
    <row r="71" spans="1:17">
      <c r="A71" s="22" t="s">
        <v>31</v>
      </c>
      <c r="B71" s="11" t="s">
        <v>33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>
      <c r="A72" s="22" t="s">
        <v>7</v>
      </c>
      <c r="B72" s="11" t="s">
        <v>34</v>
      </c>
      <c r="C72" s="12"/>
      <c r="D72" s="12"/>
      <c r="G72" s="12"/>
      <c r="H72" s="12"/>
      <c r="I72" s="12"/>
      <c r="J72" s="12"/>
      <c r="K72" s="12"/>
    </row>
    <row r="73" spans="1:17">
      <c r="A73" s="22" t="s">
        <v>24</v>
      </c>
      <c r="B73" s="11" t="s">
        <v>35</v>
      </c>
      <c r="C73" s="12"/>
      <c r="D73" s="12"/>
      <c r="G73" s="12"/>
      <c r="H73" s="12"/>
      <c r="I73" s="12"/>
      <c r="J73" s="12"/>
      <c r="K73" s="12"/>
    </row>
    <row r="74" spans="1:17">
      <c r="A74" s="22" t="s">
        <v>236</v>
      </c>
      <c r="B74" s="11" t="s">
        <v>297</v>
      </c>
      <c r="C74" s="12"/>
      <c r="D74" s="12"/>
      <c r="G74" s="12"/>
      <c r="H74" s="12"/>
      <c r="I74" s="12"/>
      <c r="J74" s="12"/>
      <c r="K74" s="12"/>
    </row>
    <row r="76" spans="1:17">
      <c r="A76" s="61" t="s">
        <v>151</v>
      </c>
      <c r="B76" s="65" t="s">
        <v>1</v>
      </c>
      <c r="C76" s="4" t="s">
        <v>2</v>
      </c>
      <c r="D76" s="18" t="s">
        <v>73</v>
      </c>
      <c r="E76" s="6" t="s">
        <v>196</v>
      </c>
      <c r="F76" s="6" t="s">
        <v>15</v>
      </c>
      <c r="G76" s="6" t="s">
        <v>17</v>
      </c>
      <c r="H76" s="17" t="s">
        <v>4</v>
      </c>
      <c r="I76" s="17" t="s">
        <v>234</v>
      </c>
      <c r="J76" s="17" t="s">
        <v>20</v>
      </c>
      <c r="K76" s="42" t="s">
        <v>21</v>
      </c>
      <c r="L76" s="17" t="s">
        <v>22</v>
      </c>
      <c r="M76" s="17" t="s">
        <v>23</v>
      </c>
      <c r="N76" s="98" t="s">
        <v>24</v>
      </c>
      <c r="O76" s="17" t="s">
        <v>235</v>
      </c>
    </row>
    <row r="77" spans="1:17">
      <c r="A77" s="82" t="s">
        <v>240</v>
      </c>
      <c r="B77" s="109" t="s">
        <v>305</v>
      </c>
      <c r="C77" s="67">
        <v>1</v>
      </c>
      <c r="D77" s="40">
        <v>0.1</v>
      </c>
      <c r="E77" s="85">
        <f>C77*F77</f>
        <v>1.4817600000000002E-10</v>
      </c>
      <c r="F77" s="86">
        <f t="shared" ref="F77:F80" si="3">G77*H77*I77*J77*K77*L77*M77*N77</f>
        <v>1.4817600000000002E-10</v>
      </c>
      <c r="G77" s="81">
        <f t="shared" ref="G77:G83" si="4">0.049*10^-6</f>
        <v>4.9000000000000002E-8</v>
      </c>
      <c r="H77" s="24">
        <v>0.36</v>
      </c>
      <c r="I77" s="24">
        <v>1</v>
      </c>
      <c r="J77" s="24">
        <f>0.7</f>
        <v>0.7</v>
      </c>
      <c r="K77" s="24">
        <v>0.05</v>
      </c>
      <c r="L77" s="24">
        <v>4</v>
      </c>
      <c r="M77" s="24">
        <f t="shared" ref="M77:M83" si="5">0.3</f>
        <v>0.3</v>
      </c>
      <c r="N77" s="24">
        <v>0.2</v>
      </c>
      <c r="O77" s="28">
        <v>30</v>
      </c>
    </row>
    <row r="78" spans="1:17">
      <c r="A78" s="82" t="s">
        <v>183</v>
      </c>
      <c r="B78" s="109" t="s">
        <v>306</v>
      </c>
      <c r="C78" s="67">
        <v>1</v>
      </c>
      <c r="D78" s="40">
        <v>0.1</v>
      </c>
      <c r="E78" s="85">
        <f t="shared" ref="E78:E83" si="6">C78*F78</f>
        <v>1.4817600000000002E-10</v>
      </c>
      <c r="F78" s="86">
        <f t="shared" si="3"/>
        <v>1.4817600000000002E-10</v>
      </c>
      <c r="G78" s="81">
        <f t="shared" si="4"/>
        <v>4.9000000000000002E-8</v>
      </c>
      <c r="H78" s="24">
        <v>0.36</v>
      </c>
      <c r="I78" s="24">
        <v>1</v>
      </c>
      <c r="J78" s="24">
        <f t="shared" ref="J78:J83" si="7">0.7</f>
        <v>0.7</v>
      </c>
      <c r="K78" s="24">
        <v>0.05</v>
      </c>
      <c r="L78" s="24">
        <v>4</v>
      </c>
      <c r="M78" s="24">
        <f t="shared" si="5"/>
        <v>0.3</v>
      </c>
      <c r="N78" s="24">
        <v>0.2</v>
      </c>
      <c r="O78" s="28">
        <v>30</v>
      </c>
    </row>
    <row r="79" spans="1:17">
      <c r="A79" s="82" t="s">
        <v>185</v>
      </c>
      <c r="B79" s="109" t="s">
        <v>306</v>
      </c>
      <c r="C79" s="67">
        <v>1</v>
      </c>
      <c r="D79" s="40">
        <v>0.1</v>
      </c>
      <c r="E79" s="85">
        <f t="shared" si="6"/>
        <v>1.4817600000000002E-10</v>
      </c>
      <c r="F79" s="86">
        <f t="shared" si="3"/>
        <v>1.4817600000000002E-10</v>
      </c>
      <c r="G79" s="81">
        <f t="shared" si="4"/>
        <v>4.9000000000000002E-8</v>
      </c>
      <c r="H79" s="24">
        <v>0.36</v>
      </c>
      <c r="I79" s="24">
        <v>1</v>
      </c>
      <c r="J79" s="24">
        <f t="shared" si="7"/>
        <v>0.7</v>
      </c>
      <c r="K79" s="24">
        <v>0.05</v>
      </c>
      <c r="L79" s="24">
        <v>4</v>
      </c>
      <c r="M79" s="24">
        <f t="shared" si="5"/>
        <v>0.3</v>
      </c>
      <c r="N79" s="24">
        <v>0.2</v>
      </c>
      <c r="O79" s="28">
        <v>30</v>
      </c>
    </row>
    <row r="80" spans="1:17">
      <c r="A80" s="82" t="s">
        <v>164</v>
      </c>
      <c r="B80" s="109" t="s">
        <v>307</v>
      </c>
      <c r="C80" s="67">
        <v>1</v>
      </c>
      <c r="D80" s="40">
        <v>0.2</v>
      </c>
      <c r="E80" s="85">
        <f t="shared" si="6"/>
        <v>1.6875600000000001E-10</v>
      </c>
      <c r="F80" s="86">
        <f t="shared" si="3"/>
        <v>1.6875600000000001E-10</v>
      </c>
      <c r="G80" s="81">
        <f t="shared" si="4"/>
        <v>4.9000000000000002E-8</v>
      </c>
      <c r="H80" s="24">
        <v>0.41</v>
      </c>
      <c r="I80" s="24">
        <v>1</v>
      </c>
      <c r="J80" s="24">
        <f t="shared" si="7"/>
        <v>0.7</v>
      </c>
      <c r="K80" s="24">
        <v>0.05</v>
      </c>
      <c r="L80" s="24">
        <v>4</v>
      </c>
      <c r="M80" s="24">
        <f t="shared" si="5"/>
        <v>0.3</v>
      </c>
      <c r="N80" s="24">
        <v>0.2</v>
      </c>
      <c r="O80" s="28">
        <v>30</v>
      </c>
    </row>
    <row r="81" spans="1:15">
      <c r="A81" s="82" t="s">
        <v>165</v>
      </c>
      <c r="B81" s="109" t="s">
        <v>305</v>
      </c>
      <c r="C81" s="67">
        <v>1</v>
      </c>
      <c r="D81" s="40">
        <v>0.12</v>
      </c>
      <c r="E81" s="85">
        <f t="shared" si="6"/>
        <v>1.5229200000000002E-10</v>
      </c>
      <c r="F81" s="86">
        <f t="shared" ref="F81:F83" si="8">G81*H81*I81*J81*K81*L81*M81*N81</f>
        <v>1.5229200000000002E-10</v>
      </c>
      <c r="G81" s="81">
        <f t="shared" si="4"/>
        <v>4.9000000000000002E-8</v>
      </c>
      <c r="H81" s="24">
        <v>0.37</v>
      </c>
      <c r="I81" s="24">
        <v>1</v>
      </c>
      <c r="J81" s="24">
        <f>0.7</f>
        <v>0.7</v>
      </c>
      <c r="K81" s="24">
        <v>0.05</v>
      </c>
      <c r="L81" s="24">
        <v>4</v>
      </c>
      <c r="M81" s="24">
        <f t="shared" si="5"/>
        <v>0.3</v>
      </c>
      <c r="N81" s="24">
        <v>0.2</v>
      </c>
      <c r="O81" s="28">
        <v>30</v>
      </c>
    </row>
    <row r="82" spans="1:15">
      <c r="A82" s="82" t="s">
        <v>166</v>
      </c>
      <c r="B82" s="109" t="s">
        <v>306</v>
      </c>
      <c r="C82" s="67">
        <v>1</v>
      </c>
      <c r="D82" s="40">
        <v>0.12</v>
      </c>
      <c r="E82" s="85">
        <f t="shared" si="6"/>
        <v>1.5229200000000002E-10</v>
      </c>
      <c r="F82" s="86">
        <f t="shared" si="8"/>
        <v>1.5229200000000002E-10</v>
      </c>
      <c r="G82" s="81">
        <f t="shared" si="4"/>
        <v>4.9000000000000002E-8</v>
      </c>
      <c r="H82" s="24">
        <v>0.37</v>
      </c>
      <c r="I82" s="24">
        <v>1</v>
      </c>
      <c r="J82" s="24">
        <f t="shared" si="7"/>
        <v>0.7</v>
      </c>
      <c r="K82" s="24">
        <v>0.05</v>
      </c>
      <c r="L82" s="24">
        <v>4</v>
      </c>
      <c r="M82" s="24">
        <f t="shared" si="5"/>
        <v>0.3</v>
      </c>
      <c r="N82" s="24">
        <v>0.2</v>
      </c>
      <c r="O82" s="28">
        <v>30</v>
      </c>
    </row>
    <row r="83" spans="1:15">
      <c r="A83" s="82" t="s">
        <v>186</v>
      </c>
      <c r="B83" s="109" t="s">
        <v>306</v>
      </c>
      <c r="C83" s="67">
        <v>1</v>
      </c>
      <c r="D83" s="40">
        <v>0.1</v>
      </c>
      <c r="E83" s="85">
        <f t="shared" si="6"/>
        <v>1.4817600000000002E-10</v>
      </c>
      <c r="F83" s="86">
        <f t="shared" si="8"/>
        <v>1.4817600000000002E-10</v>
      </c>
      <c r="G83" s="81">
        <f t="shared" si="4"/>
        <v>4.9000000000000002E-8</v>
      </c>
      <c r="H83" s="24">
        <v>0.36</v>
      </c>
      <c r="I83" s="24">
        <v>1</v>
      </c>
      <c r="J83" s="24">
        <f t="shared" si="7"/>
        <v>0.7</v>
      </c>
      <c r="K83" s="24">
        <v>0.05</v>
      </c>
      <c r="L83" s="24">
        <v>4</v>
      </c>
      <c r="M83" s="24">
        <f t="shared" si="5"/>
        <v>0.3</v>
      </c>
      <c r="N83" s="24">
        <v>0.2</v>
      </c>
      <c r="O83" s="28">
        <v>30</v>
      </c>
    </row>
    <row r="84" spans="1:15" ht="15" thickBot="1"/>
    <row r="85" spans="1:15" ht="15" thickBot="1">
      <c r="D85" s="128" t="s">
        <v>75</v>
      </c>
      <c r="E85" s="122">
        <f>SUM(E77:E83)</f>
        <v>1.066044E-9</v>
      </c>
    </row>
    <row r="87" spans="1:15" ht="15" thickBot="1"/>
    <row r="88" spans="1:15" ht="15" thickBot="1">
      <c r="C88" s="55"/>
      <c r="D88" s="134" t="s">
        <v>490</v>
      </c>
      <c r="E88" s="105">
        <f>SUM(E30,G44,E59,E85)</f>
        <v>2.0730396799999995E-8</v>
      </c>
    </row>
  </sheetData>
  <mergeCells count="1">
    <mergeCell ref="A2:Q2"/>
  </mergeCells>
  <phoneticPr fontId="30" type="noConversion"/>
  <pageMargins left="0.7" right="0.7" top="0.75" bottom="0.75" header="0.3" footer="0.3"/>
  <ignoredErrors>
    <ignoredError sqref="F8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86"/>
  <sheetViews>
    <sheetView topLeftCell="A52" zoomScale="115" zoomScaleNormal="115" workbookViewId="0">
      <selection activeCell="B68" sqref="B68"/>
    </sheetView>
  </sheetViews>
  <sheetFormatPr defaultRowHeight="14.5"/>
  <cols>
    <col min="2" max="2" width="51.7265625" customWidth="1"/>
    <col min="4" max="4" width="11.81640625" bestFit="1" customWidth="1"/>
    <col min="5" max="5" width="11.26953125" customWidth="1"/>
    <col min="6" max="6" width="10" customWidth="1"/>
    <col min="8" max="8" width="10.54296875" customWidth="1"/>
  </cols>
  <sheetData>
    <row r="2" spans="1:17">
      <c r="A2" s="147" t="s">
        <v>308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1:17">
      <c r="A4" s="11" t="s">
        <v>150</v>
      </c>
      <c r="B4" s="11"/>
    </row>
    <row r="5" spans="1:17">
      <c r="A5" s="11" t="s">
        <v>26</v>
      </c>
      <c r="B5" s="11"/>
    </row>
    <row r="6" spans="1:17">
      <c r="A6" s="11" t="s">
        <v>291</v>
      </c>
      <c r="B6" s="11"/>
    </row>
    <row r="7" spans="1:17">
      <c r="A7" s="11"/>
      <c r="B7" s="11"/>
      <c r="C7" s="15"/>
    </row>
    <row r="8" spans="1:17">
      <c r="A8" s="11"/>
      <c r="B8" s="11"/>
      <c r="C8" s="15"/>
    </row>
    <row r="10" spans="1:17">
      <c r="A10" s="25" t="s">
        <v>44</v>
      </c>
      <c r="B10" s="25"/>
      <c r="C10" s="25"/>
      <c r="D10" s="25"/>
      <c r="E10" s="25"/>
      <c r="F10" s="11"/>
      <c r="G10" s="25"/>
      <c r="H10" s="1"/>
      <c r="I10" s="1"/>
      <c r="N10" s="1"/>
      <c r="O10" s="1"/>
    </row>
    <row r="11" spans="1:17">
      <c r="A11" s="11" t="s">
        <v>312</v>
      </c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1"/>
      <c r="O11" s="11"/>
    </row>
    <row r="12" spans="1:17">
      <c r="L12" s="1"/>
      <c r="M12" s="1"/>
      <c r="N12" s="1"/>
      <c r="O12" s="1"/>
    </row>
    <row r="13" spans="1:17">
      <c r="A13" s="7" t="s">
        <v>16</v>
      </c>
      <c r="B13" s="11" t="s">
        <v>320</v>
      </c>
      <c r="C13" s="15"/>
      <c r="E13" s="11"/>
      <c r="F13" s="11"/>
      <c r="H13" s="11" t="s">
        <v>201</v>
      </c>
      <c r="I13" s="34">
        <f>0.0207*10^-6</f>
        <v>2.07E-8</v>
      </c>
      <c r="J13" s="56" t="s">
        <v>310</v>
      </c>
      <c r="K13" s="11"/>
      <c r="L13" s="12"/>
      <c r="M13" s="12"/>
      <c r="N13" s="12"/>
      <c r="O13" s="12"/>
      <c r="P13" s="12"/>
    </row>
    <row r="14" spans="1:17">
      <c r="A14" s="22" t="s">
        <v>4</v>
      </c>
      <c r="B14" s="11" t="s">
        <v>38</v>
      </c>
      <c r="C14" s="26"/>
      <c r="D14" s="11"/>
      <c r="E14" s="11"/>
      <c r="F14" s="11"/>
      <c r="G14" s="1"/>
      <c r="H14" s="11" t="s">
        <v>309</v>
      </c>
      <c r="I14" s="34">
        <f>0.0194*10^-6</f>
        <v>1.9399999999999998E-8</v>
      </c>
      <c r="J14" s="56" t="s">
        <v>311</v>
      </c>
      <c r="K14" s="11"/>
      <c r="L14" s="12"/>
      <c r="M14" s="12"/>
      <c r="N14" s="12"/>
      <c r="O14" s="12"/>
    </row>
    <row r="15" spans="1:17">
      <c r="A15" s="22" t="s">
        <v>6</v>
      </c>
      <c r="B15" s="11" t="s">
        <v>32</v>
      </c>
      <c r="C15" s="12"/>
      <c r="D15" s="12"/>
      <c r="E15" s="12"/>
      <c r="F15" s="12"/>
      <c r="I15" s="1"/>
      <c r="J15" s="1"/>
      <c r="K15" s="1"/>
      <c r="L15" s="2"/>
      <c r="M15" s="1"/>
      <c r="N15" s="1"/>
      <c r="O15" s="1"/>
    </row>
    <row r="16" spans="1:17">
      <c r="A16" s="22" t="s">
        <v>7</v>
      </c>
      <c r="B16" s="11" t="s">
        <v>42</v>
      </c>
      <c r="C16" s="12"/>
      <c r="D16" s="11"/>
      <c r="E16" s="11"/>
      <c r="F16" s="11"/>
      <c r="G16" s="1"/>
      <c r="H16" s="1"/>
      <c r="I16" s="1"/>
      <c r="J16" s="1"/>
      <c r="K16" s="1"/>
      <c r="L16" s="2"/>
      <c r="M16" s="1"/>
      <c r="N16" s="1"/>
      <c r="O16" s="1"/>
    </row>
    <row r="17" spans="1:15">
      <c r="A17" s="23" t="s">
        <v>40</v>
      </c>
      <c r="B17" s="11" t="s">
        <v>41</v>
      </c>
      <c r="C17" s="11"/>
      <c r="D17" s="1"/>
      <c r="E17" s="1"/>
      <c r="F17" s="1"/>
      <c r="G17" s="1"/>
      <c r="H17" s="1"/>
      <c r="I17" s="1"/>
      <c r="J17" s="1"/>
      <c r="K17" s="3"/>
      <c r="L17" s="2"/>
      <c r="M17" s="1"/>
      <c r="N17" s="1"/>
      <c r="O17" s="1"/>
    </row>
    <row r="18" spans="1:15">
      <c r="A18" s="22" t="s">
        <v>31</v>
      </c>
      <c r="B18" s="11" t="s">
        <v>33</v>
      </c>
      <c r="C18" s="12"/>
      <c r="D18" s="12"/>
      <c r="E18" s="12"/>
      <c r="F18" s="12"/>
      <c r="G18" s="12"/>
      <c r="H18" s="12"/>
      <c r="I18" s="12"/>
      <c r="J18" s="12"/>
      <c r="K18" s="12"/>
    </row>
    <row r="19" spans="1:15">
      <c r="A19" s="22" t="s">
        <v>24</v>
      </c>
      <c r="B19" s="11" t="s">
        <v>35</v>
      </c>
      <c r="C19" s="12"/>
      <c r="D19" s="12"/>
      <c r="E19" s="12"/>
      <c r="F19" s="12"/>
      <c r="G19" s="12"/>
      <c r="H19" s="12"/>
      <c r="I19" s="12"/>
      <c r="J19" s="12"/>
      <c r="K19" s="12"/>
    </row>
    <row r="20" spans="1:15">
      <c r="A20" s="22" t="s">
        <v>236</v>
      </c>
      <c r="B20" s="11" t="s">
        <v>297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5">
      <c r="D21" s="12"/>
      <c r="F21" s="1"/>
      <c r="G21" s="1"/>
      <c r="H21" s="1"/>
      <c r="I21" s="1"/>
      <c r="J21" s="1"/>
      <c r="K21" s="3"/>
    </row>
    <row r="22" spans="1:15">
      <c r="A22" s="61" t="s">
        <v>151</v>
      </c>
      <c r="B22" s="4" t="s">
        <v>1</v>
      </c>
      <c r="C22" s="4" t="s">
        <v>2</v>
      </c>
      <c r="D22" s="44" t="s">
        <v>74</v>
      </c>
      <c r="E22" s="6" t="s">
        <v>196</v>
      </c>
      <c r="F22" s="6" t="s">
        <v>15</v>
      </c>
      <c r="G22" s="6" t="s">
        <v>153</v>
      </c>
      <c r="H22" s="4" t="s">
        <v>4</v>
      </c>
      <c r="I22" s="4" t="s">
        <v>43</v>
      </c>
      <c r="J22" s="4" t="s">
        <v>6</v>
      </c>
      <c r="K22" s="4" t="s">
        <v>24</v>
      </c>
      <c r="L22" s="17" t="s">
        <v>23</v>
      </c>
      <c r="M22" s="42" t="s">
        <v>235</v>
      </c>
    </row>
    <row r="23" spans="1:15">
      <c r="A23" s="62" t="s">
        <v>154</v>
      </c>
      <c r="B23" s="45" t="s">
        <v>313</v>
      </c>
      <c r="C23" s="27">
        <v>1</v>
      </c>
      <c r="D23" s="28">
        <v>0.1</v>
      </c>
      <c r="E23" s="83">
        <f t="shared" ref="E23:E26" si="0">C23*F23</f>
        <v>2.8963440000000007E-10</v>
      </c>
      <c r="F23" s="84">
        <f>G23*H23*I23*J23*K23*L23</f>
        <v>2.8963440000000007E-10</v>
      </c>
      <c r="G23" s="30">
        <f t="shared" ref="G23:G26" si="1">0.0207*10^-6</f>
        <v>2.07E-8</v>
      </c>
      <c r="H23" s="24">
        <v>3.3000000000000002E-2</v>
      </c>
      <c r="I23" s="24">
        <f>0.53</f>
        <v>0.53</v>
      </c>
      <c r="J23" s="24">
        <v>4</v>
      </c>
      <c r="K23" s="28">
        <v>0.2</v>
      </c>
      <c r="L23" s="24">
        <v>1</v>
      </c>
      <c r="M23" s="28">
        <v>30</v>
      </c>
    </row>
    <row r="24" spans="1:15">
      <c r="A24" s="62" t="s">
        <v>155</v>
      </c>
      <c r="B24" s="45" t="s">
        <v>314</v>
      </c>
      <c r="C24" s="27">
        <v>1</v>
      </c>
      <c r="D24" s="28">
        <v>0.1</v>
      </c>
      <c r="E24" s="83">
        <f t="shared" si="0"/>
        <v>3.3290400000000004E-10</v>
      </c>
      <c r="F24" s="84">
        <f t="shared" ref="F24:F26" si="2">G24*H24*I24*J24*K24*L24</f>
        <v>3.3290400000000004E-10</v>
      </c>
      <c r="G24" s="30">
        <f>0.0194*10^-6</f>
        <v>1.9399999999999998E-8</v>
      </c>
      <c r="H24" s="24">
        <v>3.3000000000000002E-2</v>
      </c>
      <c r="I24" s="24">
        <f>0.65</f>
        <v>0.65</v>
      </c>
      <c r="J24" s="24">
        <v>4</v>
      </c>
      <c r="K24" s="28">
        <v>0.2</v>
      </c>
      <c r="L24" s="24">
        <v>1</v>
      </c>
      <c r="M24" s="28">
        <v>30</v>
      </c>
    </row>
    <row r="25" spans="1:15">
      <c r="A25" s="62" t="s">
        <v>156</v>
      </c>
      <c r="B25" s="45" t="s">
        <v>314</v>
      </c>
      <c r="C25" s="27">
        <v>1</v>
      </c>
      <c r="D25" s="28">
        <v>0.1</v>
      </c>
      <c r="E25" s="83">
        <f t="shared" si="0"/>
        <v>3.3290400000000004E-10</v>
      </c>
      <c r="F25" s="84">
        <f t="shared" si="2"/>
        <v>3.3290400000000004E-10</v>
      </c>
      <c r="G25" s="30">
        <f>0.0194*10^-6</f>
        <v>1.9399999999999998E-8</v>
      </c>
      <c r="H25" s="24">
        <v>3.3000000000000002E-2</v>
      </c>
      <c r="I25" s="24">
        <f>0.65</f>
        <v>0.65</v>
      </c>
      <c r="J25" s="24">
        <v>4</v>
      </c>
      <c r="K25" s="28">
        <v>0.2</v>
      </c>
      <c r="L25" s="24">
        <v>1</v>
      </c>
      <c r="M25" s="28">
        <v>30</v>
      </c>
    </row>
    <row r="26" spans="1:15">
      <c r="A26" s="62" t="s">
        <v>157</v>
      </c>
      <c r="B26" s="45" t="s">
        <v>315</v>
      </c>
      <c r="C26" s="27">
        <v>1</v>
      </c>
      <c r="D26" s="28">
        <v>0.1</v>
      </c>
      <c r="E26" s="83">
        <f t="shared" si="0"/>
        <v>9.3448080000000011E-10</v>
      </c>
      <c r="F26" s="84">
        <f t="shared" si="2"/>
        <v>9.3448080000000011E-10</v>
      </c>
      <c r="G26" s="30">
        <f t="shared" si="1"/>
        <v>2.07E-8</v>
      </c>
      <c r="H26" s="24">
        <v>3.3000000000000002E-2</v>
      </c>
      <c r="I26" s="24">
        <f>1.71</f>
        <v>1.71</v>
      </c>
      <c r="J26" s="24">
        <v>4</v>
      </c>
      <c r="K26" s="28">
        <v>0.2</v>
      </c>
      <c r="L26" s="24">
        <v>1</v>
      </c>
      <c r="M26" s="28">
        <v>30</v>
      </c>
    </row>
    <row r="27" spans="1:15">
      <c r="A27" s="62" t="s">
        <v>158</v>
      </c>
      <c r="B27" s="45" t="s">
        <v>316</v>
      </c>
      <c r="C27" s="27">
        <v>1</v>
      </c>
      <c r="D27" s="28">
        <v>0.48</v>
      </c>
      <c r="E27" s="83">
        <f t="shared" ref="E27:E28" si="3">C27*F27</f>
        <v>5.7322440000000005E-9</v>
      </c>
      <c r="F27" s="84">
        <f>G27*H27*I27*J27*K27*L27</f>
        <v>5.7322440000000005E-9</v>
      </c>
      <c r="G27" s="30">
        <f t="shared" ref="G27:G37" si="4">0.0207*10^-6</f>
        <v>2.07E-8</v>
      </c>
      <c r="H27" s="24">
        <v>0.161</v>
      </c>
      <c r="I27" s="24">
        <f>2.15</f>
        <v>2.15</v>
      </c>
      <c r="J27" s="24">
        <v>4</v>
      </c>
      <c r="K27" s="28">
        <v>0.2</v>
      </c>
      <c r="L27" s="24">
        <v>1</v>
      </c>
      <c r="M27" s="28">
        <v>30</v>
      </c>
    </row>
    <row r="28" spans="1:15">
      <c r="A28" s="62" t="s">
        <v>159</v>
      </c>
      <c r="B28" s="45" t="s">
        <v>314</v>
      </c>
      <c r="C28" s="27">
        <v>1</v>
      </c>
      <c r="D28" s="28">
        <v>0.24</v>
      </c>
      <c r="E28" s="83">
        <f t="shared" si="3"/>
        <v>4.8422400000000004E-10</v>
      </c>
      <c r="F28" s="84">
        <f t="shared" ref="F28" si="5">G28*H28*I28*J28*K28*L28</f>
        <v>4.8422400000000004E-10</v>
      </c>
      <c r="G28" s="30">
        <f>0.0194*10^-6</f>
        <v>1.9399999999999998E-8</v>
      </c>
      <c r="H28" s="24">
        <v>4.8000000000000001E-2</v>
      </c>
      <c r="I28" s="24">
        <f>0.65</f>
        <v>0.65</v>
      </c>
      <c r="J28" s="24">
        <v>4</v>
      </c>
      <c r="K28" s="28">
        <v>0.2</v>
      </c>
      <c r="L28" s="24">
        <v>1</v>
      </c>
      <c r="M28" s="28">
        <v>30</v>
      </c>
    </row>
    <row r="29" spans="1:15">
      <c r="A29" s="62" t="s">
        <v>160</v>
      </c>
      <c r="B29" s="45" t="s">
        <v>314</v>
      </c>
      <c r="C29" s="27">
        <v>1</v>
      </c>
      <c r="D29" s="28">
        <v>0.24</v>
      </c>
      <c r="E29" s="83">
        <f t="shared" ref="E29" si="6">C29*F29</f>
        <v>4.8422400000000004E-10</v>
      </c>
      <c r="F29" s="84">
        <f t="shared" ref="F29" si="7">G29*H29*I29*J29*K29*L29</f>
        <v>4.8422400000000004E-10</v>
      </c>
      <c r="G29" s="30">
        <f>0.0194*10^-6</f>
        <v>1.9399999999999998E-8</v>
      </c>
      <c r="H29" s="24">
        <v>4.8000000000000001E-2</v>
      </c>
      <c r="I29" s="24">
        <f>0.65</f>
        <v>0.65</v>
      </c>
      <c r="J29" s="24">
        <v>4</v>
      </c>
      <c r="K29" s="28">
        <v>0.2</v>
      </c>
      <c r="L29" s="24">
        <v>1</v>
      </c>
      <c r="M29" s="28">
        <v>30</v>
      </c>
    </row>
    <row r="30" spans="1:15">
      <c r="A30" s="62" t="s">
        <v>161</v>
      </c>
      <c r="B30" s="45" t="s">
        <v>313</v>
      </c>
      <c r="C30" s="27">
        <v>1</v>
      </c>
      <c r="D30" s="28">
        <v>0.25</v>
      </c>
      <c r="E30" s="83">
        <f t="shared" ref="E30:E35" si="8">C30*F30</f>
        <v>4.3884000000000006E-10</v>
      </c>
      <c r="F30" s="84">
        <f>G30*H30*I30*J30*K30*L30</f>
        <v>4.3884000000000006E-10</v>
      </c>
      <c r="G30" s="30">
        <f t="shared" ref="G30" si="9">0.0207*10^-6</f>
        <v>2.07E-8</v>
      </c>
      <c r="H30" s="24">
        <v>0.05</v>
      </c>
      <c r="I30" s="24">
        <f>0.53</f>
        <v>0.53</v>
      </c>
      <c r="J30" s="24">
        <v>4</v>
      </c>
      <c r="K30" s="28">
        <v>0.2</v>
      </c>
      <c r="L30" s="24">
        <v>1</v>
      </c>
      <c r="M30" s="28">
        <v>30</v>
      </c>
    </row>
    <row r="31" spans="1:15">
      <c r="A31" s="62" t="s">
        <v>162</v>
      </c>
      <c r="B31" s="45" t="s">
        <v>314</v>
      </c>
      <c r="C31" s="27">
        <v>1</v>
      </c>
      <c r="D31" s="28">
        <v>0.1</v>
      </c>
      <c r="E31" s="83">
        <f t="shared" si="8"/>
        <v>3.3290400000000004E-10</v>
      </c>
      <c r="F31" s="84">
        <f t="shared" ref="F31" si="10">G31*H31*I31*J31*K31*L31</f>
        <v>3.3290400000000004E-10</v>
      </c>
      <c r="G31" s="30">
        <f>0.0194*10^-6</f>
        <v>1.9399999999999998E-8</v>
      </c>
      <c r="H31" s="24">
        <v>3.3000000000000002E-2</v>
      </c>
      <c r="I31" s="24">
        <f>0.65</f>
        <v>0.65</v>
      </c>
      <c r="J31" s="24">
        <v>4</v>
      </c>
      <c r="K31" s="28">
        <v>0.2</v>
      </c>
      <c r="L31" s="24">
        <v>1</v>
      </c>
      <c r="M31" s="28">
        <v>30</v>
      </c>
    </row>
    <row r="32" spans="1:15">
      <c r="A32" s="62" t="s">
        <v>167</v>
      </c>
      <c r="B32" s="45" t="s">
        <v>314</v>
      </c>
      <c r="C32" s="27">
        <v>1</v>
      </c>
      <c r="D32" s="28">
        <v>0.1</v>
      </c>
      <c r="E32" s="83">
        <f t="shared" si="8"/>
        <v>3.3290400000000004E-10</v>
      </c>
      <c r="F32" s="84">
        <f>G32*H32*I32*J32*K32*L32</f>
        <v>3.3290400000000004E-10</v>
      </c>
      <c r="G32" s="30">
        <f>0.0194*10^-6</f>
        <v>1.9399999999999998E-8</v>
      </c>
      <c r="H32" s="24">
        <v>3.3000000000000002E-2</v>
      </c>
      <c r="I32" s="24">
        <f>0.65</f>
        <v>0.65</v>
      </c>
      <c r="J32" s="24">
        <v>4</v>
      </c>
      <c r="K32" s="28">
        <v>0.2</v>
      </c>
      <c r="L32" s="24">
        <v>1</v>
      </c>
      <c r="M32" s="28">
        <v>30</v>
      </c>
    </row>
    <row r="33" spans="1:14">
      <c r="A33" s="62" t="s">
        <v>182</v>
      </c>
      <c r="B33" s="45" t="s">
        <v>315</v>
      </c>
      <c r="C33" s="27">
        <v>1</v>
      </c>
      <c r="D33" s="28">
        <v>0.1</v>
      </c>
      <c r="E33" s="83">
        <f t="shared" si="8"/>
        <v>9.3448080000000011E-10</v>
      </c>
      <c r="F33" s="84">
        <f t="shared" ref="F33:F34" si="11">G33*H33*I33*J33*K33*L33</f>
        <v>9.3448080000000011E-10</v>
      </c>
      <c r="G33" s="30">
        <f t="shared" ref="G33:G34" si="12">0.0207*10^-6</f>
        <v>2.07E-8</v>
      </c>
      <c r="H33" s="24">
        <v>3.3000000000000002E-2</v>
      </c>
      <c r="I33" s="24">
        <f>1.71</f>
        <v>1.71</v>
      </c>
      <c r="J33" s="24">
        <v>4</v>
      </c>
      <c r="K33" s="28">
        <v>0.2</v>
      </c>
      <c r="L33" s="24">
        <v>1</v>
      </c>
      <c r="M33" s="28">
        <v>30</v>
      </c>
    </row>
    <row r="34" spans="1:14">
      <c r="A34" s="62" t="s">
        <v>168</v>
      </c>
      <c r="B34" s="45" t="s">
        <v>316</v>
      </c>
      <c r="C34" s="27">
        <v>1</v>
      </c>
      <c r="D34" s="28">
        <v>0.48</v>
      </c>
      <c r="E34" s="83">
        <f t="shared" si="8"/>
        <v>5.7322440000000005E-9</v>
      </c>
      <c r="F34" s="84">
        <f t="shared" si="11"/>
        <v>5.7322440000000005E-9</v>
      </c>
      <c r="G34" s="30">
        <f t="shared" si="12"/>
        <v>2.07E-8</v>
      </c>
      <c r="H34" s="24">
        <v>0.161</v>
      </c>
      <c r="I34" s="24">
        <f>2.15</f>
        <v>2.15</v>
      </c>
      <c r="J34" s="24">
        <v>4</v>
      </c>
      <c r="K34" s="28">
        <v>0.2</v>
      </c>
      <c r="L34" s="24">
        <v>1</v>
      </c>
      <c r="M34" s="28">
        <v>30</v>
      </c>
    </row>
    <row r="35" spans="1:14">
      <c r="A35" s="62" t="s">
        <v>169</v>
      </c>
      <c r="B35" s="45" t="s">
        <v>314</v>
      </c>
      <c r="C35" s="27">
        <v>1</v>
      </c>
      <c r="D35" s="28">
        <v>0.24</v>
      </c>
      <c r="E35" s="83">
        <f t="shared" si="8"/>
        <v>4.8422400000000004E-10</v>
      </c>
      <c r="F35" s="84">
        <f>G35*H35*I35*J35*K35*L35</f>
        <v>4.8422400000000004E-10</v>
      </c>
      <c r="G35" s="30">
        <f>0.0194*10^-6</f>
        <v>1.9399999999999998E-8</v>
      </c>
      <c r="H35" s="24">
        <v>4.8000000000000001E-2</v>
      </c>
      <c r="I35" s="24">
        <f>0.65</f>
        <v>0.65</v>
      </c>
      <c r="J35" s="24">
        <v>4</v>
      </c>
      <c r="K35" s="28">
        <v>0.2</v>
      </c>
      <c r="L35" s="24">
        <v>1</v>
      </c>
      <c r="M35" s="28">
        <v>30</v>
      </c>
    </row>
    <row r="36" spans="1:14">
      <c r="A36" s="62" t="s">
        <v>170</v>
      </c>
      <c r="B36" s="45" t="s">
        <v>314</v>
      </c>
      <c r="C36" s="27">
        <v>1</v>
      </c>
      <c r="D36" s="28">
        <v>0.24</v>
      </c>
      <c r="E36" s="83">
        <f t="shared" ref="E36:E37" si="13">C36*F36</f>
        <v>4.8422400000000004E-10</v>
      </c>
      <c r="F36" s="84">
        <f t="shared" ref="F36:F37" si="14">G36*H36*I36*J36*K36*L36</f>
        <v>4.8422400000000004E-10</v>
      </c>
      <c r="G36" s="30">
        <f>0.0194*10^-6</f>
        <v>1.9399999999999998E-8</v>
      </c>
      <c r="H36" s="24">
        <v>4.8000000000000001E-2</v>
      </c>
      <c r="I36" s="24">
        <f>0.65</f>
        <v>0.65</v>
      </c>
      <c r="J36" s="24">
        <v>4</v>
      </c>
      <c r="K36" s="28">
        <v>0.2</v>
      </c>
      <c r="L36" s="24">
        <v>1</v>
      </c>
      <c r="M36" s="28">
        <v>30</v>
      </c>
    </row>
    <row r="37" spans="1:14">
      <c r="A37" s="62" t="s">
        <v>243</v>
      </c>
      <c r="B37" s="45" t="s">
        <v>313</v>
      </c>
      <c r="C37" s="27">
        <v>1</v>
      </c>
      <c r="D37" s="28">
        <v>0.25</v>
      </c>
      <c r="E37" s="83">
        <f t="shared" si="13"/>
        <v>4.3884000000000006E-10</v>
      </c>
      <c r="F37" s="84">
        <f t="shared" si="14"/>
        <v>4.3884000000000006E-10</v>
      </c>
      <c r="G37" s="30">
        <f t="shared" si="4"/>
        <v>2.07E-8</v>
      </c>
      <c r="H37" s="24">
        <v>0.05</v>
      </c>
      <c r="I37" s="24">
        <f>0.53</f>
        <v>0.53</v>
      </c>
      <c r="J37" s="24">
        <v>4</v>
      </c>
      <c r="K37" s="28">
        <v>0.2</v>
      </c>
      <c r="L37" s="24">
        <v>1</v>
      </c>
      <c r="M37" s="28">
        <v>30</v>
      </c>
    </row>
    <row r="38" spans="1:14">
      <c r="B38" s="68"/>
      <c r="D38" s="15"/>
      <c r="E38" s="48"/>
      <c r="F38" s="26"/>
      <c r="G38" s="26"/>
      <c r="H38" s="50"/>
      <c r="I38" s="50"/>
      <c r="J38" s="50"/>
      <c r="K38" s="15"/>
      <c r="L38" s="50"/>
    </row>
    <row r="39" spans="1:14">
      <c r="D39" s="35" t="s">
        <v>75</v>
      </c>
      <c r="E39" s="88">
        <f>SUM(E23:E37)</f>
        <v>1.7769276000000004E-8</v>
      </c>
    </row>
    <row r="42" spans="1:14">
      <c r="A42" s="25" t="s">
        <v>45</v>
      </c>
      <c r="B42" s="25"/>
      <c r="C42" s="25"/>
      <c r="D42" s="25"/>
      <c r="E42" s="25"/>
      <c r="F42" s="11"/>
      <c r="G42" s="25"/>
    </row>
    <row r="43" spans="1:14">
      <c r="A43" s="11" t="s">
        <v>91</v>
      </c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</row>
    <row r="44" spans="1:14">
      <c r="A44" s="12"/>
      <c r="B44" s="11"/>
      <c r="C44" s="12"/>
      <c r="D44" s="12"/>
      <c r="E44" s="12"/>
      <c r="F44" s="12"/>
      <c r="G44" s="12"/>
      <c r="H44" s="12"/>
      <c r="I44" s="12"/>
      <c r="J44" s="12"/>
      <c r="K44" s="14"/>
      <c r="L44" s="15"/>
      <c r="M44" s="11"/>
    </row>
    <row r="45" spans="1:14">
      <c r="A45" s="7" t="s">
        <v>17</v>
      </c>
      <c r="B45" s="11" t="s">
        <v>3</v>
      </c>
      <c r="C45" s="12"/>
      <c r="G45" s="58" t="s">
        <v>122</v>
      </c>
      <c r="H45" s="34">
        <f>0.049*10^-6</f>
        <v>4.9000000000000002E-8</v>
      </c>
      <c r="I45" s="11" t="s">
        <v>123</v>
      </c>
      <c r="J45" s="11"/>
      <c r="K45" s="13"/>
      <c r="L45" s="11"/>
      <c r="M45" s="11"/>
      <c r="N45" s="11"/>
    </row>
    <row r="46" spans="1:14">
      <c r="A46" s="22" t="s">
        <v>4</v>
      </c>
      <c r="B46" s="11" t="s">
        <v>38</v>
      </c>
      <c r="C46" s="12"/>
      <c r="D46" s="12"/>
      <c r="E46" s="12"/>
      <c r="F46" s="12"/>
      <c r="G46" s="58" t="s">
        <v>124</v>
      </c>
      <c r="H46" s="34">
        <f>0.037*10^-6</f>
        <v>3.6999999999999994E-8</v>
      </c>
      <c r="I46" s="11" t="s">
        <v>123</v>
      </c>
      <c r="J46" s="11"/>
      <c r="K46" s="13"/>
      <c r="L46" s="11"/>
      <c r="M46" s="11"/>
      <c r="N46" s="11"/>
    </row>
    <row r="47" spans="1:14">
      <c r="A47" s="23" t="s">
        <v>234</v>
      </c>
      <c r="B47" s="11" t="s">
        <v>28</v>
      </c>
      <c r="C47" s="11"/>
      <c r="D47" s="12"/>
      <c r="E47" s="12"/>
      <c r="F47" s="12"/>
      <c r="G47" s="12"/>
      <c r="H47" s="12"/>
      <c r="I47" s="12"/>
      <c r="J47" s="12"/>
      <c r="K47" s="14"/>
      <c r="L47" s="15"/>
      <c r="M47" s="11"/>
    </row>
    <row r="48" spans="1:14">
      <c r="A48" s="23" t="s">
        <v>20</v>
      </c>
      <c r="B48" s="11" t="s">
        <v>29</v>
      </c>
      <c r="C48" s="11"/>
      <c r="D48" s="12"/>
      <c r="E48" s="12"/>
      <c r="F48" s="12"/>
      <c r="G48" s="12"/>
      <c r="H48" s="12"/>
      <c r="I48" s="12"/>
      <c r="J48" s="12"/>
      <c r="K48" s="14"/>
      <c r="L48" s="15"/>
      <c r="M48" s="11"/>
    </row>
    <row r="49" spans="1:15">
      <c r="A49" s="23" t="s">
        <v>21</v>
      </c>
      <c r="B49" s="11" t="s">
        <v>30</v>
      </c>
      <c r="C49" s="12"/>
      <c r="D49" s="12"/>
      <c r="E49" s="12"/>
      <c r="F49" s="12"/>
      <c r="G49" s="12"/>
      <c r="H49" s="12"/>
      <c r="I49" s="12"/>
      <c r="J49" s="12"/>
      <c r="K49" s="14"/>
      <c r="L49" s="15"/>
      <c r="M49" s="11"/>
    </row>
    <row r="50" spans="1:15">
      <c r="A50" s="22" t="s">
        <v>6</v>
      </c>
      <c r="B50" s="11" t="s">
        <v>32</v>
      </c>
      <c r="C50" s="12"/>
      <c r="D50" s="12"/>
      <c r="E50" s="12"/>
      <c r="F50" s="12"/>
      <c r="G50" s="11"/>
      <c r="H50" s="12"/>
      <c r="I50" s="12"/>
      <c r="J50" s="12"/>
      <c r="K50" s="14"/>
      <c r="L50" s="16"/>
      <c r="M50" s="12"/>
    </row>
    <row r="51" spans="1:15">
      <c r="A51" s="22" t="s">
        <v>31</v>
      </c>
      <c r="B51" s="11" t="s">
        <v>33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5">
      <c r="A52" s="22" t="s">
        <v>7</v>
      </c>
      <c r="B52" s="11" t="s">
        <v>34</v>
      </c>
      <c r="C52" s="12"/>
      <c r="D52" s="12"/>
      <c r="G52" s="12"/>
      <c r="H52" s="12"/>
      <c r="I52" s="12"/>
      <c r="J52" s="12"/>
      <c r="K52" s="12"/>
    </row>
    <row r="53" spans="1:15">
      <c r="A53" s="22" t="s">
        <v>24</v>
      </c>
      <c r="B53" s="11" t="s">
        <v>35</v>
      </c>
      <c r="C53" s="12"/>
      <c r="D53" s="12"/>
      <c r="G53" s="12"/>
      <c r="H53" s="12"/>
      <c r="I53" s="12"/>
      <c r="J53" s="12"/>
      <c r="K53" s="12"/>
    </row>
    <row r="54" spans="1:15">
      <c r="A54" s="22" t="s">
        <v>236</v>
      </c>
      <c r="B54" s="11" t="s">
        <v>297</v>
      </c>
      <c r="C54" s="12"/>
      <c r="D54" s="12"/>
      <c r="G54" s="12"/>
      <c r="H54" s="12"/>
      <c r="I54" s="12"/>
      <c r="J54" s="12"/>
      <c r="K54" s="12"/>
    </row>
    <row r="56" spans="1:15">
      <c r="A56" s="61" t="s">
        <v>151</v>
      </c>
      <c r="B56" s="65" t="s">
        <v>1</v>
      </c>
      <c r="C56" s="4" t="s">
        <v>2</v>
      </c>
      <c r="D56" s="18" t="s">
        <v>73</v>
      </c>
      <c r="E56" s="6" t="s">
        <v>196</v>
      </c>
      <c r="F56" s="6" t="s">
        <v>15</v>
      </c>
      <c r="G56" s="6" t="s">
        <v>17</v>
      </c>
      <c r="H56" s="17" t="s">
        <v>4</v>
      </c>
      <c r="I56" s="17" t="s">
        <v>234</v>
      </c>
      <c r="J56" s="17" t="s">
        <v>20</v>
      </c>
      <c r="K56" s="42" t="s">
        <v>21</v>
      </c>
      <c r="L56" s="17" t="s">
        <v>22</v>
      </c>
      <c r="M56" s="17" t="s">
        <v>23</v>
      </c>
      <c r="N56" s="98" t="s">
        <v>24</v>
      </c>
      <c r="O56" s="42" t="s">
        <v>235</v>
      </c>
    </row>
    <row r="57" spans="1:15">
      <c r="A57" s="82" t="s">
        <v>240</v>
      </c>
      <c r="B57" s="110" t="s">
        <v>317</v>
      </c>
      <c r="C57" s="67">
        <v>1</v>
      </c>
      <c r="D57" s="40">
        <v>0.1</v>
      </c>
      <c r="E57" s="85">
        <f t="shared" ref="E57:E58" si="15">C57*F57</f>
        <v>1.4817600000000002E-10</v>
      </c>
      <c r="F57" s="20">
        <f t="shared" ref="F57:F58" si="16">G57*H57*I57*J57*K57*L57*M57*N57</f>
        <v>1.4817600000000002E-10</v>
      </c>
      <c r="G57" s="28">
        <f>0.049*10^-6</f>
        <v>4.9000000000000002E-8</v>
      </c>
      <c r="H57" s="24">
        <v>0.36</v>
      </c>
      <c r="I57" s="24">
        <v>1</v>
      </c>
      <c r="J57" s="24">
        <f>0.7</f>
        <v>0.7</v>
      </c>
      <c r="K57" s="24">
        <v>0.05</v>
      </c>
      <c r="L57" s="24">
        <v>4</v>
      </c>
      <c r="M57" s="24">
        <f>0.3</f>
        <v>0.3</v>
      </c>
      <c r="N57" s="24">
        <v>0.2</v>
      </c>
      <c r="O57" s="28">
        <v>30</v>
      </c>
    </row>
    <row r="58" spans="1:15">
      <c r="A58" s="82" t="s">
        <v>183</v>
      </c>
      <c r="B58" s="110" t="s">
        <v>317</v>
      </c>
      <c r="C58" s="67">
        <v>1</v>
      </c>
      <c r="D58" s="40">
        <v>0.1</v>
      </c>
      <c r="E58" s="85">
        <f t="shared" si="15"/>
        <v>1.4817600000000002E-10</v>
      </c>
      <c r="F58" s="20">
        <f t="shared" si="16"/>
        <v>1.4817600000000002E-10</v>
      </c>
      <c r="G58" s="28">
        <f>0.049*10^-6</f>
        <v>4.9000000000000002E-8</v>
      </c>
      <c r="H58" s="24">
        <v>0.36</v>
      </c>
      <c r="I58" s="24">
        <v>1</v>
      </c>
      <c r="J58" s="24">
        <f t="shared" ref="J58:J64" si="17">0.7</f>
        <v>0.7</v>
      </c>
      <c r="K58" s="24">
        <v>0.05</v>
      </c>
      <c r="L58" s="24">
        <v>4</v>
      </c>
      <c r="M58" s="24">
        <f>0.3</f>
        <v>0.3</v>
      </c>
      <c r="N58" s="24">
        <v>0.2</v>
      </c>
      <c r="O58" s="28">
        <v>30</v>
      </c>
    </row>
    <row r="59" spans="1:15">
      <c r="A59" s="82" t="s">
        <v>185</v>
      </c>
      <c r="B59" s="110" t="s">
        <v>171</v>
      </c>
      <c r="C59" s="157" t="s">
        <v>172</v>
      </c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9"/>
    </row>
    <row r="60" spans="1:15">
      <c r="A60" s="82" t="s">
        <v>164</v>
      </c>
      <c r="B60" s="110" t="s">
        <v>171</v>
      </c>
      <c r="C60" s="160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2"/>
    </row>
    <row r="61" spans="1:15">
      <c r="A61" s="82" t="s">
        <v>165</v>
      </c>
      <c r="B61" s="110" t="s">
        <v>171</v>
      </c>
      <c r="C61" s="163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5"/>
    </row>
    <row r="62" spans="1:15">
      <c r="A62" s="82" t="s">
        <v>166</v>
      </c>
      <c r="B62" s="110" t="s">
        <v>318</v>
      </c>
      <c r="C62" s="150" t="s">
        <v>491</v>
      </c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2"/>
    </row>
    <row r="63" spans="1:15">
      <c r="A63" s="82" t="s">
        <v>186</v>
      </c>
      <c r="B63" s="110" t="s">
        <v>171</v>
      </c>
      <c r="C63" s="166" t="s">
        <v>172</v>
      </c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8"/>
    </row>
    <row r="64" spans="1:15">
      <c r="A64" s="82" t="s">
        <v>187</v>
      </c>
      <c r="B64" s="110" t="s">
        <v>317</v>
      </c>
      <c r="C64" s="67">
        <v>1</v>
      </c>
      <c r="D64" s="40">
        <v>0.1</v>
      </c>
      <c r="E64" s="85">
        <f t="shared" ref="E64:E65" si="18">C64*F64</f>
        <v>1.4817600000000002E-10</v>
      </c>
      <c r="F64" s="20">
        <f t="shared" ref="F64:F65" si="19">G64*H64*I64*J64*K64*L64*M64*N64</f>
        <v>1.4817600000000002E-10</v>
      </c>
      <c r="G64" s="28">
        <f>0.049*10^-6</f>
        <v>4.9000000000000002E-8</v>
      </c>
      <c r="H64" s="24">
        <v>0.36</v>
      </c>
      <c r="I64" s="24">
        <v>1</v>
      </c>
      <c r="J64" s="24">
        <f t="shared" si="17"/>
        <v>0.7</v>
      </c>
      <c r="K64" s="24">
        <v>0.05</v>
      </c>
      <c r="L64" s="24">
        <v>4</v>
      </c>
      <c r="M64" s="24">
        <f>0.3</f>
        <v>0.3</v>
      </c>
      <c r="N64" s="24">
        <v>0.2</v>
      </c>
      <c r="O64" s="28">
        <v>30</v>
      </c>
    </row>
    <row r="65" spans="1:15">
      <c r="A65" s="82" t="s">
        <v>173</v>
      </c>
      <c r="B65" s="110" t="s">
        <v>317</v>
      </c>
      <c r="C65" s="67">
        <v>1</v>
      </c>
      <c r="D65" s="40">
        <v>0.1</v>
      </c>
      <c r="E65" s="85">
        <f t="shared" si="18"/>
        <v>1.4817600000000002E-10</v>
      </c>
      <c r="F65" s="20">
        <f t="shared" si="19"/>
        <v>1.4817600000000002E-10</v>
      </c>
      <c r="G65" s="28">
        <f>0.049*10^-6</f>
        <v>4.9000000000000002E-8</v>
      </c>
      <c r="H65" s="24">
        <v>0.36</v>
      </c>
      <c r="I65" s="24">
        <v>1</v>
      </c>
      <c r="J65" s="24">
        <f>0.7</f>
        <v>0.7</v>
      </c>
      <c r="K65" s="24">
        <v>0.05</v>
      </c>
      <c r="L65" s="24">
        <v>4</v>
      </c>
      <c r="M65" s="24">
        <f>0.3</f>
        <v>0.3</v>
      </c>
      <c r="N65" s="24">
        <v>0.2</v>
      </c>
      <c r="O65" s="28">
        <v>30</v>
      </c>
    </row>
    <row r="66" spans="1:15">
      <c r="A66" s="82" t="s">
        <v>174</v>
      </c>
      <c r="B66" s="110" t="s">
        <v>171</v>
      </c>
      <c r="C66" s="150" t="s">
        <v>172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2"/>
    </row>
    <row r="67" spans="1:15">
      <c r="A67" s="82" t="s">
        <v>175</v>
      </c>
      <c r="B67" s="110" t="s">
        <v>171</v>
      </c>
      <c r="C67" s="153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5"/>
    </row>
    <row r="68" spans="1:15">
      <c r="A68" s="82" t="s">
        <v>176</v>
      </c>
      <c r="B68" s="110" t="s">
        <v>318</v>
      </c>
      <c r="C68" s="156" t="s">
        <v>491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</row>
    <row r="69" spans="1:15" ht="15" thickBot="1">
      <c r="A69" s="49"/>
      <c r="B69" s="69"/>
      <c r="C69" s="49"/>
      <c r="F69" s="49"/>
      <c r="G69" s="11"/>
      <c r="H69" s="50"/>
      <c r="I69" s="50"/>
      <c r="J69" s="50"/>
      <c r="K69" s="50"/>
      <c r="L69" s="50"/>
      <c r="M69" s="50"/>
      <c r="N69" s="50"/>
    </row>
    <row r="70" spans="1:15" ht="15" thickBot="1">
      <c r="D70" s="35" t="s">
        <v>75</v>
      </c>
      <c r="E70" s="54">
        <f>SUM(E57:E68)</f>
        <v>5.9270400000000007E-10</v>
      </c>
    </row>
    <row r="72" spans="1:15">
      <c r="A72" s="34" t="s">
        <v>72</v>
      </c>
      <c r="B72" s="34"/>
      <c r="C72" s="34"/>
    </row>
    <row r="73" spans="1:15">
      <c r="A73" s="11" t="s">
        <v>474</v>
      </c>
      <c r="B73" s="11"/>
      <c r="C73" s="11"/>
      <c r="D73" s="11"/>
      <c r="E73" s="11"/>
      <c r="F73" s="11"/>
      <c r="G73" s="11"/>
      <c r="H73" s="11"/>
      <c r="I73" s="11"/>
      <c r="J73" s="11"/>
      <c r="K73" s="12"/>
      <c r="L73" s="12"/>
      <c r="M73" s="12"/>
      <c r="N73" s="12"/>
    </row>
    <row r="75" spans="1:15">
      <c r="A75" s="7" t="s">
        <v>15</v>
      </c>
      <c r="B75" s="11" t="s">
        <v>239</v>
      </c>
      <c r="H75" s="34"/>
      <c r="I75" s="56"/>
      <c r="J75" s="11"/>
      <c r="K75" s="12"/>
      <c r="L75" s="12"/>
      <c r="M75" s="12"/>
      <c r="N75" s="12"/>
    </row>
    <row r="76" spans="1:15">
      <c r="A76" s="22" t="s">
        <v>236</v>
      </c>
      <c r="B76" s="11" t="s">
        <v>297</v>
      </c>
      <c r="H76" s="34"/>
      <c r="I76" s="56"/>
      <c r="J76" s="11"/>
      <c r="K76" s="12"/>
      <c r="L76" s="12"/>
      <c r="M76" s="12"/>
      <c r="N76" s="12"/>
    </row>
    <row r="78" spans="1:15">
      <c r="A78" s="61" t="s">
        <v>151</v>
      </c>
      <c r="B78" s="4" t="s">
        <v>1</v>
      </c>
      <c r="C78" s="4" t="s">
        <v>2</v>
      </c>
      <c r="D78" s="6" t="s">
        <v>196</v>
      </c>
      <c r="E78" s="6" t="s">
        <v>15</v>
      </c>
      <c r="F78" s="17" t="s">
        <v>235</v>
      </c>
    </row>
    <row r="79" spans="1:15">
      <c r="A79" s="82" t="s">
        <v>193</v>
      </c>
      <c r="B79" s="31" t="s">
        <v>140</v>
      </c>
      <c r="C79" s="27">
        <v>1</v>
      </c>
      <c r="D79" s="29">
        <f>C79*E79</f>
        <v>1E-8</v>
      </c>
      <c r="E79" s="30">
        <f>0.01*10^-6</f>
        <v>1E-8</v>
      </c>
      <c r="F79" s="28">
        <v>30</v>
      </c>
      <c r="G79" s="11"/>
      <c r="H79" t="s">
        <v>478</v>
      </c>
      <c r="I79" s="94">
        <f>0.01*10^-6</f>
        <v>1E-8</v>
      </c>
      <c r="J79" s="56" t="s">
        <v>488</v>
      </c>
      <c r="K79" s="12"/>
    </row>
    <row r="80" spans="1:15">
      <c r="A80" s="82" t="s">
        <v>194</v>
      </c>
      <c r="B80" s="31" t="s">
        <v>200</v>
      </c>
      <c r="C80" s="27">
        <v>1</v>
      </c>
      <c r="D80" s="29">
        <f>C80*E80</f>
        <v>1.4999999999999999E-8</v>
      </c>
      <c r="E80" s="30">
        <f>0.015*10^-6</f>
        <v>1.4999999999999999E-8</v>
      </c>
      <c r="F80" s="28">
        <v>35</v>
      </c>
      <c r="G80" s="11"/>
      <c r="H80" t="s">
        <v>479</v>
      </c>
      <c r="I80" s="94">
        <f>0.015*10^-6</f>
        <v>1.4999999999999999E-8</v>
      </c>
      <c r="J80" s="56" t="s">
        <v>480</v>
      </c>
      <c r="K80" s="12"/>
    </row>
    <row r="81" spans="2:4" ht="15" thickBot="1"/>
    <row r="82" spans="2:4" ht="15" thickBot="1">
      <c r="C82" s="35" t="s">
        <v>75</v>
      </c>
      <c r="D82" s="36">
        <f>SUM(D79:D80)</f>
        <v>2.4999999999999999E-8</v>
      </c>
    </row>
    <row r="83" spans="2:4">
      <c r="C83" s="35"/>
    </row>
    <row r="84" spans="2:4">
      <c r="C84" s="37"/>
    </row>
    <row r="85" spans="2:4" ht="15" thickBot="1">
      <c r="B85" s="56"/>
    </row>
    <row r="86" spans="2:4" ht="15" thickBot="1">
      <c r="B86" s="55"/>
      <c r="C86" s="59" t="s">
        <v>181</v>
      </c>
      <c r="D86" s="92">
        <f>SUM(E39,E70,D82)</f>
        <v>4.3361980000000002E-8</v>
      </c>
    </row>
  </sheetData>
  <mergeCells count="6">
    <mergeCell ref="A2:Q2"/>
    <mergeCell ref="C66:O67"/>
    <mergeCell ref="C68:O68"/>
    <mergeCell ref="C62:O62"/>
    <mergeCell ref="C59:O61"/>
    <mergeCell ref="C63:O6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75"/>
  <sheetViews>
    <sheetView topLeftCell="A40" zoomScale="115" zoomScaleNormal="115" workbookViewId="0">
      <selection activeCell="I69" sqref="I69"/>
    </sheetView>
  </sheetViews>
  <sheetFormatPr defaultRowHeight="14.5"/>
  <cols>
    <col min="2" max="2" width="52" customWidth="1"/>
    <col min="4" max="4" width="11.81640625" customWidth="1"/>
    <col min="5" max="5" width="10.1796875" customWidth="1"/>
    <col min="6" max="6" width="11" bestFit="1" customWidth="1"/>
    <col min="7" max="7" width="12" bestFit="1" customWidth="1"/>
    <col min="8" max="8" width="10.1796875" customWidth="1"/>
  </cols>
  <sheetData>
    <row r="2" spans="1:17">
      <c r="A2" s="147" t="s">
        <v>319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1:17">
      <c r="A4" s="11" t="s">
        <v>150</v>
      </c>
      <c r="B4" s="11"/>
    </row>
    <row r="5" spans="1:17">
      <c r="A5" s="11" t="s">
        <v>26</v>
      </c>
      <c r="B5" s="11"/>
    </row>
    <row r="6" spans="1:17">
      <c r="A6" s="11" t="s">
        <v>291</v>
      </c>
      <c r="B6" s="11"/>
    </row>
    <row r="7" spans="1:17">
      <c r="A7" s="11"/>
      <c r="B7" s="11"/>
      <c r="C7" s="15"/>
    </row>
    <row r="8" spans="1:17">
      <c r="A8" s="49"/>
      <c r="B8" s="26"/>
      <c r="C8" s="26"/>
      <c r="D8" s="50"/>
      <c r="E8" s="50"/>
      <c r="F8" s="50"/>
      <c r="G8" s="15"/>
      <c r="H8" s="50"/>
      <c r="I8" s="50"/>
      <c r="J8" s="50"/>
      <c r="K8" s="50"/>
      <c r="L8" s="50"/>
      <c r="M8" s="15"/>
      <c r="N8" s="50"/>
      <c r="O8" s="50"/>
    </row>
    <row r="9" spans="1:17">
      <c r="A9" s="25" t="s">
        <v>44</v>
      </c>
      <c r="B9" s="25"/>
      <c r="C9" s="25"/>
      <c r="D9" s="25"/>
      <c r="E9" s="25"/>
      <c r="F9" s="11"/>
      <c r="G9" s="25"/>
      <c r="H9" s="1"/>
      <c r="I9" s="1"/>
      <c r="N9" s="1"/>
      <c r="O9" s="1"/>
    </row>
    <row r="10" spans="1:17">
      <c r="A10" s="11" t="s">
        <v>312</v>
      </c>
      <c r="B10" s="11"/>
      <c r="C10" s="11"/>
      <c r="D10" s="11"/>
      <c r="E10" s="11"/>
      <c r="F10" s="11"/>
      <c r="G10" s="11"/>
      <c r="H10" s="11"/>
      <c r="I10" s="11"/>
      <c r="J10" s="11"/>
      <c r="K10" s="12"/>
      <c r="L10" s="12"/>
      <c r="M10" s="12"/>
      <c r="N10" s="11"/>
      <c r="O10" s="11"/>
    </row>
    <row r="11" spans="1:17">
      <c r="L11" s="1"/>
      <c r="M11" s="1"/>
      <c r="N11" s="1"/>
      <c r="O11" s="1"/>
    </row>
    <row r="12" spans="1:17">
      <c r="A12" s="7" t="s">
        <v>16</v>
      </c>
      <c r="B12" s="11" t="s">
        <v>320</v>
      </c>
      <c r="C12" s="15"/>
      <c r="E12" s="11"/>
      <c r="F12" s="11"/>
      <c r="H12" s="11" t="s">
        <v>201</v>
      </c>
      <c r="I12" s="34">
        <f>0.0207*10^-6</f>
        <v>2.07E-8</v>
      </c>
      <c r="J12" s="56" t="s">
        <v>310</v>
      </c>
      <c r="K12" s="11"/>
      <c r="L12" s="12"/>
      <c r="M12" s="12"/>
      <c r="N12" s="12"/>
      <c r="O12" s="12"/>
      <c r="P12" s="12"/>
    </row>
    <row r="13" spans="1:17">
      <c r="A13" s="22" t="s">
        <v>4</v>
      </c>
      <c r="B13" s="11" t="s">
        <v>38</v>
      </c>
      <c r="C13" s="26"/>
      <c r="D13" s="11"/>
      <c r="E13" s="11"/>
      <c r="F13" s="11"/>
      <c r="G13" s="1"/>
      <c r="H13" s="11" t="s">
        <v>309</v>
      </c>
      <c r="I13" s="34">
        <f>0.0194*10^-6</f>
        <v>1.9399999999999998E-8</v>
      </c>
      <c r="J13" s="56" t="s">
        <v>311</v>
      </c>
      <c r="K13" s="11"/>
      <c r="L13" s="12"/>
      <c r="M13" s="12"/>
      <c r="N13" s="12"/>
      <c r="O13" s="12"/>
    </row>
    <row r="14" spans="1:17">
      <c r="A14" s="22" t="s">
        <v>6</v>
      </c>
      <c r="B14" s="11" t="s">
        <v>32</v>
      </c>
      <c r="C14" s="12"/>
      <c r="D14" s="12"/>
      <c r="E14" s="12"/>
      <c r="F14" s="12"/>
      <c r="I14" s="1"/>
      <c r="J14" s="1"/>
      <c r="K14" s="1"/>
      <c r="L14" s="2"/>
      <c r="M14" s="1"/>
      <c r="N14" s="1"/>
      <c r="O14" s="1"/>
    </row>
    <row r="15" spans="1:17">
      <c r="A15" s="22" t="s">
        <v>7</v>
      </c>
      <c r="B15" s="11" t="s">
        <v>42</v>
      </c>
      <c r="C15" s="12"/>
      <c r="D15" s="11"/>
      <c r="E15" s="11"/>
      <c r="F15" s="11"/>
      <c r="G15" s="1"/>
      <c r="H15" s="1"/>
      <c r="I15" s="1"/>
      <c r="J15" s="1"/>
      <c r="K15" s="1"/>
      <c r="L15" s="2"/>
      <c r="M15" s="1"/>
      <c r="N15" s="1"/>
      <c r="O15" s="1"/>
    </row>
    <row r="16" spans="1:17">
      <c r="A16" s="23" t="s">
        <v>40</v>
      </c>
      <c r="B16" s="11" t="s">
        <v>41</v>
      </c>
      <c r="C16" s="11"/>
      <c r="D16" s="1"/>
      <c r="E16" s="1"/>
      <c r="F16" s="1"/>
      <c r="G16" s="1"/>
      <c r="H16" s="1"/>
      <c r="I16" s="1"/>
      <c r="J16" s="1"/>
      <c r="K16" s="3"/>
      <c r="L16" s="2"/>
      <c r="M16" s="1"/>
      <c r="N16" s="1"/>
      <c r="O16" s="1"/>
    </row>
    <row r="17" spans="1:13">
      <c r="A17" s="22" t="s">
        <v>31</v>
      </c>
      <c r="B17" s="11" t="s">
        <v>33</v>
      </c>
      <c r="C17" s="12"/>
      <c r="D17" s="12"/>
      <c r="E17" s="12"/>
      <c r="F17" s="12"/>
      <c r="G17" s="12"/>
      <c r="H17" s="12"/>
      <c r="I17" s="12"/>
      <c r="J17" s="12"/>
      <c r="K17" s="12"/>
    </row>
    <row r="18" spans="1:13">
      <c r="A18" s="22" t="s">
        <v>24</v>
      </c>
      <c r="B18" s="11" t="s">
        <v>35</v>
      </c>
      <c r="C18" s="12"/>
      <c r="D18" s="12"/>
      <c r="E18" s="12"/>
      <c r="F18" s="12"/>
      <c r="G18" s="12"/>
      <c r="H18" s="12"/>
      <c r="I18" s="12"/>
      <c r="J18" s="12"/>
      <c r="K18" s="12"/>
    </row>
    <row r="19" spans="1:13">
      <c r="A19" s="22" t="s">
        <v>236</v>
      </c>
      <c r="B19" s="11" t="s">
        <v>297</v>
      </c>
      <c r="C19" s="12"/>
      <c r="D19" s="12"/>
      <c r="E19" s="12"/>
      <c r="F19" s="12"/>
      <c r="G19" s="12"/>
      <c r="H19" s="12"/>
      <c r="I19" s="12"/>
      <c r="J19" s="12"/>
      <c r="K19" s="12"/>
    </row>
    <row r="20" spans="1:13">
      <c r="D20" s="12"/>
      <c r="F20" s="1"/>
      <c r="G20" s="1"/>
      <c r="H20" s="1"/>
      <c r="I20" s="1"/>
      <c r="J20" s="1"/>
      <c r="K20" s="3"/>
    </row>
    <row r="21" spans="1:13">
      <c r="A21" s="61" t="s">
        <v>151</v>
      </c>
      <c r="B21" s="4" t="s">
        <v>1</v>
      </c>
      <c r="C21" s="4" t="s">
        <v>2</v>
      </c>
      <c r="D21" s="44" t="s">
        <v>74</v>
      </c>
      <c r="E21" s="6" t="s">
        <v>196</v>
      </c>
      <c r="F21" s="6" t="s">
        <v>15</v>
      </c>
      <c r="G21" s="6" t="s">
        <v>153</v>
      </c>
      <c r="H21" s="4" t="s">
        <v>4</v>
      </c>
      <c r="I21" s="4" t="s">
        <v>43</v>
      </c>
      <c r="J21" s="4" t="s">
        <v>6</v>
      </c>
      <c r="K21" s="4" t="s">
        <v>24</v>
      </c>
      <c r="L21" s="17" t="s">
        <v>23</v>
      </c>
      <c r="M21" s="42" t="s">
        <v>235</v>
      </c>
    </row>
    <row r="22" spans="1:13">
      <c r="A22" s="62" t="s">
        <v>154</v>
      </c>
      <c r="B22" s="45" t="s">
        <v>313</v>
      </c>
      <c r="C22" s="27">
        <v>1</v>
      </c>
      <c r="D22" s="28">
        <v>0.1</v>
      </c>
      <c r="E22" s="83">
        <f t="shared" ref="E22:E24" si="0">C22*F22</f>
        <v>2.8963440000000007E-10</v>
      </c>
      <c r="F22" s="84">
        <f>G22*H22*I22*J22*K22*L22</f>
        <v>2.8963440000000007E-10</v>
      </c>
      <c r="G22" s="30">
        <f t="shared" ref="G22" si="1">0.0207*10^-6</f>
        <v>2.07E-8</v>
      </c>
      <c r="H22" s="24">
        <v>3.3000000000000002E-2</v>
      </c>
      <c r="I22" s="24">
        <f>0.53</f>
        <v>0.53</v>
      </c>
      <c r="J22" s="24">
        <v>4</v>
      </c>
      <c r="K22" s="28">
        <v>0.2</v>
      </c>
      <c r="L22" s="24">
        <v>1</v>
      </c>
      <c r="M22" s="28">
        <v>30</v>
      </c>
    </row>
    <row r="23" spans="1:13">
      <c r="A23" s="62" t="s">
        <v>155</v>
      </c>
      <c r="B23" s="45" t="s">
        <v>314</v>
      </c>
      <c r="C23" s="27">
        <v>1</v>
      </c>
      <c r="D23" s="28">
        <v>0.1</v>
      </c>
      <c r="E23" s="83">
        <f t="shared" si="0"/>
        <v>3.3290400000000004E-10</v>
      </c>
      <c r="F23" s="84">
        <f t="shared" ref="F23:F24" si="2">G23*H23*I23*J23*K23*L23</f>
        <v>3.3290400000000004E-10</v>
      </c>
      <c r="G23" s="30">
        <f>0.0194*10^-6</f>
        <v>1.9399999999999998E-8</v>
      </c>
      <c r="H23" s="24">
        <v>3.3000000000000002E-2</v>
      </c>
      <c r="I23" s="24">
        <f>0.65</f>
        <v>0.65</v>
      </c>
      <c r="J23" s="24">
        <v>4</v>
      </c>
      <c r="K23" s="28">
        <v>0.2</v>
      </c>
      <c r="L23" s="24">
        <v>1</v>
      </c>
      <c r="M23" s="28">
        <v>30</v>
      </c>
    </row>
    <row r="24" spans="1:13">
      <c r="A24" s="62" t="s">
        <v>156</v>
      </c>
      <c r="B24" s="45" t="s">
        <v>314</v>
      </c>
      <c r="C24" s="27">
        <v>1</v>
      </c>
      <c r="D24" s="28">
        <v>0.1</v>
      </c>
      <c r="E24" s="83">
        <f t="shared" si="0"/>
        <v>3.3290400000000004E-10</v>
      </c>
      <c r="F24" s="84">
        <f t="shared" si="2"/>
        <v>3.3290400000000004E-10</v>
      </c>
      <c r="G24" s="30">
        <f>0.0194*10^-6</f>
        <v>1.9399999999999998E-8</v>
      </c>
      <c r="H24" s="24">
        <v>3.3000000000000002E-2</v>
      </c>
      <c r="I24" s="24">
        <v>0.65</v>
      </c>
      <c r="J24" s="24">
        <v>4</v>
      </c>
      <c r="K24" s="28">
        <v>0.2</v>
      </c>
      <c r="L24" s="24">
        <v>1</v>
      </c>
      <c r="M24" s="28">
        <v>30</v>
      </c>
    </row>
    <row r="25" spans="1:13">
      <c r="A25" s="62" t="s">
        <v>157</v>
      </c>
      <c r="B25" s="45" t="s">
        <v>315</v>
      </c>
      <c r="C25" s="27">
        <v>1</v>
      </c>
      <c r="D25" s="28">
        <v>0.1</v>
      </c>
      <c r="E25" s="83">
        <f t="shared" ref="E25:E30" si="3">C25*F25</f>
        <v>9.3448080000000011E-10</v>
      </c>
      <c r="F25" s="84">
        <f>G25*H25*I25*J25*K25*L25</f>
        <v>9.3448080000000011E-10</v>
      </c>
      <c r="G25" s="30">
        <f t="shared" ref="G25:G30" si="4">0.0207*10^-6</f>
        <v>2.07E-8</v>
      </c>
      <c r="H25" s="24">
        <v>3.3000000000000002E-2</v>
      </c>
      <c r="I25" s="24">
        <v>1.71</v>
      </c>
      <c r="J25" s="24">
        <v>4</v>
      </c>
      <c r="K25" s="28">
        <v>0.2</v>
      </c>
      <c r="L25" s="24">
        <v>1</v>
      </c>
      <c r="M25" s="28">
        <v>30</v>
      </c>
    </row>
    <row r="26" spans="1:13">
      <c r="A26" s="62" t="s">
        <v>158</v>
      </c>
      <c r="B26" s="45" t="s">
        <v>316</v>
      </c>
      <c r="C26" s="27">
        <v>1</v>
      </c>
      <c r="D26" s="28">
        <v>0.48</v>
      </c>
      <c r="E26" s="83">
        <f t="shared" si="3"/>
        <v>5.7322440000000005E-9</v>
      </c>
      <c r="F26" s="84">
        <f>G26*H26*I26*J26*K26*L26</f>
        <v>5.7322440000000005E-9</v>
      </c>
      <c r="G26" s="30">
        <f t="shared" si="4"/>
        <v>2.07E-8</v>
      </c>
      <c r="H26" s="24">
        <v>0.161</v>
      </c>
      <c r="I26" s="24">
        <f>2.15</f>
        <v>2.15</v>
      </c>
      <c r="J26" s="24">
        <v>4</v>
      </c>
      <c r="K26" s="28">
        <v>0.2</v>
      </c>
      <c r="L26" s="24">
        <v>1</v>
      </c>
      <c r="M26" s="28">
        <v>30</v>
      </c>
    </row>
    <row r="27" spans="1:13">
      <c r="A27" s="62" t="s">
        <v>159</v>
      </c>
      <c r="B27" s="45" t="s">
        <v>316</v>
      </c>
      <c r="C27" s="27">
        <v>1</v>
      </c>
      <c r="D27" s="28">
        <v>0.48</v>
      </c>
      <c r="E27" s="83">
        <f t="shared" si="3"/>
        <v>5.7322440000000005E-9</v>
      </c>
      <c r="F27" s="84">
        <f t="shared" ref="F27:F30" si="5">G27*H27*I27*J27*K27*L27</f>
        <v>5.7322440000000005E-9</v>
      </c>
      <c r="G27" s="30">
        <f t="shared" si="4"/>
        <v>2.07E-8</v>
      </c>
      <c r="H27" s="24">
        <v>0.161</v>
      </c>
      <c r="I27" s="24">
        <f>2.15</f>
        <v>2.15</v>
      </c>
      <c r="J27" s="24">
        <v>4</v>
      </c>
      <c r="K27" s="28">
        <v>0.2</v>
      </c>
      <c r="L27" s="24">
        <v>1</v>
      </c>
      <c r="M27" s="28">
        <v>30</v>
      </c>
    </row>
    <row r="28" spans="1:13">
      <c r="A28" s="62" t="s">
        <v>160</v>
      </c>
      <c r="B28" s="45" t="s">
        <v>314</v>
      </c>
      <c r="C28" s="27">
        <v>1</v>
      </c>
      <c r="D28" s="28">
        <v>0.24</v>
      </c>
      <c r="E28" s="83">
        <f t="shared" si="3"/>
        <v>4.8422400000000004E-10</v>
      </c>
      <c r="F28" s="84">
        <f t="shared" si="5"/>
        <v>4.8422400000000004E-10</v>
      </c>
      <c r="G28" s="30">
        <f>0.0194*10^-6</f>
        <v>1.9399999999999998E-8</v>
      </c>
      <c r="H28" s="24">
        <v>4.8000000000000001E-2</v>
      </c>
      <c r="I28" s="24">
        <f>0.65</f>
        <v>0.65</v>
      </c>
      <c r="J28" s="24">
        <v>4</v>
      </c>
      <c r="K28" s="28">
        <v>0.2</v>
      </c>
      <c r="L28" s="24">
        <v>1</v>
      </c>
      <c r="M28" s="28">
        <v>31</v>
      </c>
    </row>
    <row r="29" spans="1:13">
      <c r="A29" s="62" t="s">
        <v>161</v>
      </c>
      <c r="B29" s="45" t="s">
        <v>314</v>
      </c>
      <c r="C29" s="27">
        <v>1</v>
      </c>
      <c r="D29" s="28">
        <v>0.24</v>
      </c>
      <c r="E29" s="83">
        <f t="shared" si="3"/>
        <v>4.8422400000000004E-10</v>
      </c>
      <c r="F29" s="84">
        <f t="shared" si="5"/>
        <v>4.8422400000000004E-10</v>
      </c>
      <c r="G29" s="30">
        <f>0.0194*10^-6</f>
        <v>1.9399999999999998E-8</v>
      </c>
      <c r="H29" s="24">
        <v>4.8000000000000001E-2</v>
      </c>
      <c r="I29" s="24">
        <f>0.65</f>
        <v>0.65</v>
      </c>
      <c r="J29" s="24">
        <v>4</v>
      </c>
      <c r="K29" s="28">
        <v>0.2</v>
      </c>
      <c r="L29" s="24">
        <v>1</v>
      </c>
      <c r="M29" s="28">
        <v>30</v>
      </c>
    </row>
    <row r="30" spans="1:13">
      <c r="A30" s="62" t="s">
        <v>162</v>
      </c>
      <c r="B30" s="45" t="s">
        <v>313</v>
      </c>
      <c r="C30" s="27">
        <v>1</v>
      </c>
      <c r="D30" s="28">
        <v>0.27</v>
      </c>
      <c r="E30" s="83">
        <f t="shared" si="3"/>
        <v>4.827240000000001E-10</v>
      </c>
      <c r="F30" s="84">
        <f t="shared" si="5"/>
        <v>4.827240000000001E-10</v>
      </c>
      <c r="G30" s="30">
        <f t="shared" si="4"/>
        <v>2.07E-8</v>
      </c>
      <c r="H30" s="24">
        <v>5.5E-2</v>
      </c>
      <c r="I30" s="24">
        <f>0.53</f>
        <v>0.53</v>
      </c>
      <c r="J30" s="24">
        <v>4</v>
      </c>
      <c r="K30" s="28">
        <v>0.2</v>
      </c>
      <c r="L30" s="24">
        <v>1</v>
      </c>
      <c r="M30" s="28">
        <v>30</v>
      </c>
    </row>
    <row r="31" spans="1:13">
      <c r="B31" s="68"/>
      <c r="D31" s="15"/>
      <c r="F31" s="26"/>
      <c r="G31" s="26"/>
      <c r="H31" s="50"/>
      <c r="I31" s="50"/>
      <c r="J31" s="50"/>
      <c r="K31" s="15"/>
      <c r="L31" s="50"/>
    </row>
    <row r="32" spans="1:13">
      <c r="D32" s="35" t="s">
        <v>75</v>
      </c>
      <c r="E32" s="107">
        <f>SUM(E22:E30)</f>
        <v>1.48055832E-8</v>
      </c>
    </row>
    <row r="33" spans="1:17">
      <c r="D33" s="35"/>
    </row>
    <row r="34" spans="1:17">
      <c r="D34" s="35"/>
    </row>
    <row r="35" spans="1:17">
      <c r="A35" s="25" t="s">
        <v>45</v>
      </c>
      <c r="B35" s="25"/>
      <c r="C35" s="25"/>
      <c r="D35" s="25"/>
      <c r="E35" s="25"/>
      <c r="F35" s="11"/>
      <c r="G35" s="25"/>
    </row>
    <row r="36" spans="1:17">
      <c r="A36" s="11" t="s">
        <v>202</v>
      </c>
      <c r="B36" s="11"/>
      <c r="C36" s="11"/>
      <c r="D36" s="11"/>
      <c r="E36" s="11"/>
      <c r="F36" s="11"/>
      <c r="G36" s="11"/>
      <c r="H36" s="11"/>
      <c r="I36" s="11"/>
      <c r="J36" s="11"/>
      <c r="K36" s="12"/>
      <c r="L36" s="12"/>
      <c r="M36" s="12"/>
      <c r="N36" s="12"/>
    </row>
    <row r="37" spans="1:17">
      <c r="A37" s="12"/>
      <c r="B37" s="11"/>
      <c r="C37" s="12"/>
      <c r="D37" s="12"/>
      <c r="E37" s="12"/>
      <c r="F37" s="12"/>
      <c r="G37" s="12"/>
      <c r="H37" s="12"/>
      <c r="I37" s="12"/>
      <c r="J37" s="12"/>
      <c r="K37" s="14"/>
      <c r="L37" s="15"/>
      <c r="M37" s="11"/>
    </row>
    <row r="38" spans="1:17">
      <c r="A38" s="7" t="s">
        <v>17</v>
      </c>
      <c r="B38" s="11" t="s">
        <v>3</v>
      </c>
      <c r="C38" s="12"/>
      <c r="G38" s="58" t="s">
        <v>122</v>
      </c>
      <c r="H38" s="34">
        <f>0.049*10^-6</f>
        <v>4.9000000000000002E-8</v>
      </c>
      <c r="I38" s="11" t="s">
        <v>123</v>
      </c>
      <c r="J38" s="11"/>
      <c r="K38" s="13"/>
      <c r="L38" s="11"/>
      <c r="M38" s="11"/>
      <c r="N38" s="11"/>
    </row>
    <row r="39" spans="1:17">
      <c r="A39" s="22" t="s">
        <v>4</v>
      </c>
      <c r="B39" s="11" t="s">
        <v>38</v>
      </c>
      <c r="C39" s="12"/>
      <c r="D39" s="12"/>
      <c r="E39" s="12"/>
      <c r="F39" s="12"/>
      <c r="G39" s="58"/>
      <c r="H39" s="34"/>
      <c r="I39" s="11"/>
      <c r="J39" s="11"/>
      <c r="K39" s="13"/>
      <c r="L39" s="11"/>
      <c r="M39" s="11"/>
      <c r="N39" s="11"/>
    </row>
    <row r="40" spans="1:17">
      <c r="A40" s="23" t="s">
        <v>234</v>
      </c>
      <c r="B40" s="11" t="s">
        <v>28</v>
      </c>
      <c r="C40" s="11"/>
      <c r="D40" s="12"/>
      <c r="E40" s="12"/>
      <c r="F40" s="12"/>
      <c r="G40" s="12"/>
      <c r="H40" s="12"/>
      <c r="I40" s="12"/>
      <c r="J40" s="12"/>
      <c r="K40" s="14"/>
      <c r="L40" s="15"/>
      <c r="M40" s="11"/>
    </row>
    <row r="41" spans="1:17">
      <c r="A41" s="23" t="s">
        <v>20</v>
      </c>
      <c r="B41" s="11" t="s">
        <v>29</v>
      </c>
      <c r="C41" s="11"/>
      <c r="D41" s="12"/>
      <c r="E41" s="12"/>
      <c r="F41" s="12"/>
      <c r="G41" s="12"/>
      <c r="H41" s="12"/>
      <c r="I41" s="12"/>
      <c r="J41" s="12"/>
      <c r="K41" s="14"/>
      <c r="L41" s="15"/>
      <c r="M41" s="11"/>
    </row>
    <row r="42" spans="1:17">
      <c r="A42" s="23" t="s">
        <v>21</v>
      </c>
      <c r="B42" s="11" t="s">
        <v>30</v>
      </c>
      <c r="C42" s="12"/>
      <c r="D42" s="12"/>
      <c r="E42" s="12"/>
      <c r="F42" s="12"/>
      <c r="G42" s="12"/>
      <c r="H42" s="12"/>
      <c r="I42" s="12"/>
      <c r="J42" s="12"/>
      <c r="K42" s="14"/>
      <c r="L42" s="15"/>
      <c r="M42" s="11"/>
    </row>
    <row r="43" spans="1:17">
      <c r="A43" s="22" t="s">
        <v>6</v>
      </c>
      <c r="B43" s="11" t="s">
        <v>32</v>
      </c>
      <c r="C43" s="12"/>
      <c r="D43" s="12"/>
      <c r="E43" s="12"/>
      <c r="F43" s="12"/>
      <c r="G43" s="11"/>
      <c r="H43" s="12"/>
      <c r="I43" s="12"/>
      <c r="J43" s="12"/>
      <c r="K43" s="14"/>
      <c r="L43" s="16"/>
      <c r="M43" s="12"/>
    </row>
    <row r="44" spans="1:17">
      <c r="A44" s="22" t="s">
        <v>31</v>
      </c>
      <c r="B44" s="11" t="s">
        <v>33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7">
      <c r="A45" s="22" t="s">
        <v>7</v>
      </c>
      <c r="B45" s="11" t="s">
        <v>34</v>
      </c>
      <c r="C45" s="12"/>
      <c r="D45" s="12"/>
      <c r="G45" s="12"/>
      <c r="H45" s="12"/>
      <c r="I45" s="12"/>
      <c r="J45" s="12"/>
      <c r="K45" s="12"/>
    </row>
    <row r="46" spans="1:17">
      <c r="A46" s="22" t="s">
        <v>24</v>
      </c>
      <c r="B46" s="11" t="s">
        <v>35</v>
      </c>
      <c r="C46" s="12"/>
      <c r="D46" s="12"/>
      <c r="G46" s="12"/>
      <c r="H46" s="12"/>
      <c r="I46" s="12"/>
      <c r="J46" s="12"/>
      <c r="K46" s="12"/>
      <c r="Q46" t="s">
        <v>245</v>
      </c>
    </row>
    <row r="47" spans="1:17">
      <c r="A47" s="22" t="s">
        <v>236</v>
      </c>
      <c r="B47" s="11" t="s">
        <v>297</v>
      </c>
      <c r="C47" s="12"/>
      <c r="D47" s="12"/>
      <c r="G47" s="12"/>
      <c r="H47" s="12"/>
      <c r="I47" s="12"/>
      <c r="J47" s="12"/>
      <c r="K47" s="12"/>
    </row>
    <row r="49" spans="1:15">
      <c r="A49" s="61" t="s">
        <v>151</v>
      </c>
      <c r="B49" s="65" t="s">
        <v>1</v>
      </c>
      <c r="C49" s="4" t="s">
        <v>2</v>
      </c>
      <c r="D49" s="18" t="s">
        <v>73</v>
      </c>
      <c r="E49" s="6" t="s">
        <v>196</v>
      </c>
      <c r="F49" s="6" t="s">
        <v>15</v>
      </c>
      <c r="G49" s="6" t="s">
        <v>17</v>
      </c>
      <c r="H49" s="17" t="s">
        <v>4</v>
      </c>
      <c r="I49" s="17" t="s">
        <v>234</v>
      </c>
      <c r="J49" s="17" t="s">
        <v>20</v>
      </c>
      <c r="K49" s="42" t="s">
        <v>21</v>
      </c>
      <c r="L49" s="17" t="s">
        <v>22</v>
      </c>
      <c r="M49" s="17" t="s">
        <v>23</v>
      </c>
      <c r="N49" s="19" t="s">
        <v>24</v>
      </c>
      <c r="O49" s="42" t="s">
        <v>235</v>
      </c>
    </row>
    <row r="50" spans="1:15">
      <c r="A50" s="82" t="s">
        <v>240</v>
      </c>
      <c r="B50" s="66" t="s">
        <v>321</v>
      </c>
      <c r="C50" s="67">
        <v>1</v>
      </c>
      <c r="D50" s="40">
        <v>0.15</v>
      </c>
      <c r="E50" s="85">
        <f t="shared" ref="E50:E51" si="6">C50*F50</f>
        <v>1.6052400000000001E-10</v>
      </c>
      <c r="F50" s="20">
        <f t="shared" ref="F50:F51" si="7">G50*H50*I50*J50*K50*L50*M50*N50</f>
        <v>1.6052400000000001E-10</v>
      </c>
      <c r="G50" s="30">
        <f>0.049*10^-6</f>
        <v>4.9000000000000002E-8</v>
      </c>
      <c r="H50" s="24">
        <v>0.39</v>
      </c>
      <c r="I50" s="24">
        <v>1</v>
      </c>
      <c r="J50" s="24">
        <f>0.7</f>
        <v>0.7</v>
      </c>
      <c r="K50" s="24">
        <v>0.05</v>
      </c>
      <c r="L50" s="24">
        <v>4</v>
      </c>
      <c r="M50" s="24">
        <f>0.3</f>
        <v>0.3</v>
      </c>
      <c r="N50" s="24">
        <v>0.2</v>
      </c>
      <c r="O50" s="28">
        <v>31</v>
      </c>
    </row>
    <row r="51" spans="1:15">
      <c r="A51" s="82" t="s">
        <v>183</v>
      </c>
      <c r="B51" s="66" t="s">
        <v>321</v>
      </c>
      <c r="C51" s="67">
        <v>1</v>
      </c>
      <c r="D51" s="40">
        <v>0.15</v>
      </c>
      <c r="E51" s="85">
        <f t="shared" si="6"/>
        <v>1.6052400000000001E-10</v>
      </c>
      <c r="F51" s="20">
        <f t="shared" si="7"/>
        <v>1.6052400000000001E-10</v>
      </c>
      <c r="G51" s="30">
        <f>0.049*10^-6</f>
        <v>4.9000000000000002E-8</v>
      </c>
      <c r="H51" s="24">
        <v>0.39</v>
      </c>
      <c r="I51" s="24">
        <v>1</v>
      </c>
      <c r="J51" s="24">
        <f t="shared" ref="J51" si="8">0.7</f>
        <v>0.7</v>
      </c>
      <c r="K51" s="24">
        <v>0.05</v>
      </c>
      <c r="L51" s="24">
        <v>4</v>
      </c>
      <c r="M51" s="24">
        <f>0.3</f>
        <v>0.3</v>
      </c>
      <c r="N51" s="24">
        <v>0.2</v>
      </c>
      <c r="O51" s="28">
        <v>32</v>
      </c>
    </row>
    <row r="52" spans="1:15">
      <c r="A52" s="82" t="s">
        <v>185</v>
      </c>
      <c r="B52" s="66" t="s">
        <v>171</v>
      </c>
      <c r="C52" s="157" t="s">
        <v>172</v>
      </c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9"/>
    </row>
    <row r="53" spans="1:15">
      <c r="A53" s="82" t="s">
        <v>164</v>
      </c>
      <c r="B53" s="66" t="s">
        <v>171</v>
      </c>
      <c r="C53" s="160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2"/>
    </row>
    <row r="54" spans="1:15">
      <c r="A54" s="82" t="s">
        <v>165</v>
      </c>
      <c r="B54" s="66" t="s">
        <v>171</v>
      </c>
      <c r="C54" s="160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2"/>
    </row>
    <row r="55" spans="1:15">
      <c r="A55" s="82" t="s">
        <v>166</v>
      </c>
      <c r="B55" s="66" t="s">
        <v>171</v>
      </c>
      <c r="C55" s="160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2"/>
    </row>
    <row r="56" spans="1:15">
      <c r="A56" s="82" t="s">
        <v>186</v>
      </c>
      <c r="B56" s="66" t="s">
        <v>171</v>
      </c>
      <c r="C56" s="160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2"/>
    </row>
    <row r="57" spans="1:15">
      <c r="A57" s="82" t="s">
        <v>187</v>
      </c>
      <c r="B57" s="66" t="s">
        <v>171</v>
      </c>
      <c r="C57" s="163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5"/>
    </row>
    <row r="58" spans="1:15" ht="15" thickBot="1">
      <c r="A58" s="49"/>
      <c r="B58" s="69"/>
      <c r="C58" s="49"/>
      <c r="D58" s="70"/>
      <c r="E58" s="49"/>
      <c r="F58" s="49"/>
      <c r="G58" s="11"/>
      <c r="H58" s="50"/>
      <c r="I58" s="50"/>
      <c r="J58" s="50"/>
      <c r="K58" s="50"/>
      <c r="L58" s="50"/>
      <c r="M58" s="50"/>
      <c r="N58" s="50"/>
    </row>
    <row r="59" spans="1:15" ht="15" thickBot="1">
      <c r="A59" s="49"/>
      <c r="B59" s="69"/>
      <c r="C59" s="49"/>
      <c r="D59" s="35" t="s">
        <v>75</v>
      </c>
      <c r="E59" s="54">
        <f>SUM(E50:E57)</f>
        <v>3.2104800000000003E-10</v>
      </c>
      <c r="F59" s="49"/>
      <c r="G59" s="11"/>
      <c r="H59" s="50"/>
      <c r="I59" s="50"/>
      <c r="J59" s="50"/>
      <c r="K59" s="50"/>
      <c r="L59" s="50"/>
      <c r="M59" s="50"/>
      <c r="N59" s="50"/>
    </row>
    <row r="61" spans="1:15">
      <c r="A61" s="34" t="s">
        <v>72</v>
      </c>
      <c r="B61" s="34"/>
      <c r="C61" s="34"/>
    </row>
    <row r="62" spans="1:15">
      <c r="A62" s="11" t="s">
        <v>475</v>
      </c>
      <c r="B62" s="11"/>
      <c r="C62" s="11"/>
      <c r="D62" s="11"/>
      <c r="E62" s="11"/>
      <c r="F62" s="11"/>
      <c r="G62" s="11"/>
      <c r="H62" s="11"/>
      <c r="I62" s="11"/>
      <c r="J62" s="11"/>
    </row>
    <row r="64" spans="1:15">
      <c r="A64" s="7" t="s">
        <v>15</v>
      </c>
      <c r="B64" s="11" t="s">
        <v>239</v>
      </c>
      <c r="I64" s="56"/>
      <c r="J64" s="11"/>
    </row>
    <row r="65" spans="1:10">
      <c r="A65" s="22" t="s">
        <v>236</v>
      </c>
      <c r="B65" s="11" t="s">
        <v>297</v>
      </c>
      <c r="H65" s="34"/>
      <c r="I65" s="56"/>
      <c r="J65" s="11"/>
    </row>
    <row r="67" spans="1:10">
      <c r="A67" s="61" t="s">
        <v>151</v>
      </c>
      <c r="B67" s="4" t="s">
        <v>1</v>
      </c>
      <c r="C67" s="4" t="s">
        <v>2</v>
      </c>
      <c r="D67" s="6" t="s">
        <v>196</v>
      </c>
      <c r="E67" s="6" t="s">
        <v>15</v>
      </c>
      <c r="F67" s="139" t="s">
        <v>235</v>
      </c>
    </row>
    <row r="68" spans="1:10">
      <c r="A68" s="82" t="s">
        <v>193</v>
      </c>
      <c r="B68" s="31" t="s">
        <v>244</v>
      </c>
      <c r="C68" s="93">
        <v>1</v>
      </c>
      <c r="D68" s="29">
        <f>C68*E68</f>
        <v>2E-8</v>
      </c>
      <c r="E68" s="28">
        <f>0.02*10^-6</f>
        <v>2E-8</v>
      </c>
      <c r="F68" s="28">
        <v>45</v>
      </c>
      <c r="G68" s="11"/>
      <c r="H68" t="s">
        <v>477</v>
      </c>
      <c r="I68" s="94">
        <f>0.02*10^-6</f>
        <v>2E-8</v>
      </c>
      <c r="J68" s="56" t="s">
        <v>476</v>
      </c>
    </row>
    <row r="69" spans="1:10" ht="15" thickBot="1">
      <c r="J69" s="11"/>
    </row>
    <row r="70" spans="1:10" ht="15" thickBot="1">
      <c r="C70" s="35" t="s">
        <v>75</v>
      </c>
      <c r="D70" s="36">
        <f>SUM(D68:D68)</f>
        <v>2E-8</v>
      </c>
    </row>
    <row r="71" spans="1:10">
      <c r="C71" s="37"/>
    </row>
    <row r="72" spans="1:10">
      <c r="B72" s="56"/>
    </row>
    <row r="73" spans="1:10">
      <c r="B73" s="56"/>
    </row>
    <row r="74" spans="1:10" ht="15" thickBot="1"/>
    <row r="75" spans="1:10" ht="15" thickBot="1">
      <c r="B75" s="55"/>
      <c r="C75" s="71" t="s">
        <v>489</v>
      </c>
      <c r="D75" s="92">
        <f>SUM(E32,E59,D70)</f>
        <v>3.5126631199999996E-8</v>
      </c>
    </row>
  </sheetData>
  <mergeCells count="2">
    <mergeCell ref="A2:Q2"/>
    <mergeCell ref="C52:O5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E182"/>
  <sheetViews>
    <sheetView topLeftCell="A37" zoomScale="115" zoomScaleNormal="115" workbookViewId="0">
      <selection activeCell="B45" sqref="B45"/>
    </sheetView>
  </sheetViews>
  <sheetFormatPr defaultRowHeight="14.5"/>
  <cols>
    <col min="1" max="1" width="7.453125" customWidth="1"/>
    <col min="2" max="2" width="52.1796875" customWidth="1"/>
    <col min="3" max="3" width="6.7265625" customWidth="1"/>
    <col min="4" max="4" width="9.54296875" customWidth="1"/>
    <col min="5" max="5" width="11.81640625" customWidth="1"/>
    <col min="6" max="6" width="10.26953125" customWidth="1"/>
    <col min="7" max="10" width="9.54296875" customWidth="1"/>
    <col min="11" max="11" width="8.453125" customWidth="1"/>
    <col min="12" max="13" width="5.7265625" customWidth="1"/>
    <col min="14" max="14" width="6.7265625" customWidth="1"/>
    <col min="15" max="15" width="5.7265625" customWidth="1"/>
    <col min="16" max="16" width="7.26953125" customWidth="1"/>
    <col min="17" max="17" width="5.7265625" customWidth="1"/>
  </cols>
  <sheetData>
    <row r="2" spans="1:17" ht="18" customHeight="1">
      <c r="A2" s="147" t="s">
        <v>322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1:17">
      <c r="A4" s="11" t="s">
        <v>150</v>
      </c>
      <c r="B4" s="11"/>
    </row>
    <row r="5" spans="1:17">
      <c r="A5" s="11" t="s">
        <v>26</v>
      </c>
      <c r="B5" s="11"/>
    </row>
    <row r="6" spans="1:17">
      <c r="A6" s="11" t="s">
        <v>291</v>
      </c>
      <c r="B6" s="11"/>
    </row>
    <row r="7" spans="1:17">
      <c r="A7" s="11"/>
      <c r="B7" s="11"/>
      <c r="C7" s="15"/>
    </row>
    <row r="8" spans="1:17">
      <c r="A8" s="11"/>
      <c r="B8" s="11"/>
      <c r="C8" s="15"/>
    </row>
    <row r="9" spans="1:17">
      <c r="A9" s="146" t="s">
        <v>36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</row>
    <row r="11" spans="1:17">
      <c r="A11" s="25" t="s">
        <v>44</v>
      </c>
      <c r="B11" s="25"/>
      <c r="C11" s="25"/>
      <c r="D11" s="25"/>
      <c r="E11" s="25"/>
      <c r="F11" s="11"/>
      <c r="G11" s="25"/>
      <c r="H11" s="1"/>
      <c r="I11" s="1"/>
      <c r="N11" s="1"/>
    </row>
    <row r="12" spans="1:17">
      <c r="A12" s="11" t="s">
        <v>197</v>
      </c>
      <c r="B12" s="11"/>
      <c r="C12" s="11"/>
      <c r="D12" s="11"/>
      <c r="E12" s="11"/>
      <c r="F12" s="11"/>
      <c r="G12" s="11"/>
      <c r="H12" s="11"/>
      <c r="I12" s="11"/>
      <c r="J12" s="11"/>
      <c r="K12" s="12"/>
      <c r="L12" s="12"/>
      <c r="M12" s="12"/>
      <c r="N12" s="11"/>
    </row>
    <row r="14" spans="1:17">
      <c r="A14" s="7" t="s">
        <v>16</v>
      </c>
      <c r="B14" s="11" t="s">
        <v>37</v>
      </c>
      <c r="C14" s="15"/>
      <c r="E14" s="11"/>
      <c r="F14" s="11"/>
      <c r="H14" s="1"/>
      <c r="I14" s="34">
        <f>0.0207*10^-6</f>
        <v>2.07E-8</v>
      </c>
      <c r="J14" s="56" t="s">
        <v>111</v>
      </c>
      <c r="K14" s="11"/>
      <c r="L14" s="12"/>
      <c r="M14" s="12"/>
      <c r="N14" s="12"/>
      <c r="O14" s="12"/>
    </row>
    <row r="15" spans="1:17">
      <c r="A15" s="22" t="s">
        <v>4</v>
      </c>
      <c r="B15" s="11" t="s">
        <v>38</v>
      </c>
      <c r="C15" s="26"/>
      <c r="D15" s="11"/>
      <c r="E15" s="11"/>
      <c r="F15" s="11"/>
      <c r="G15" s="1"/>
      <c r="H15" s="1"/>
      <c r="I15" s="1"/>
      <c r="J15" s="1"/>
      <c r="K15" s="1"/>
      <c r="L15" s="2"/>
      <c r="M15" s="1"/>
      <c r="N15" s="9"/>
      <c r="O15" s="1"/>
    </row>
    <row r="16" spans="1:17">
      <c r="A16" s="22" t="s">
        <v>6</v>
      </c>
      <c r="B16" s="11" t="s">
        <v>32</v>
      </c>
      <c r="C16" s="12"/>
      <c r="D16" s="12"/>
      <c r="E16" s="12"/>
      <c r="F16" s="12"/>
      <c r="I16" s="1"/>
      <c r="J16" s="1"/>
      <c r="K16" s="1"/>
      <c r="L16" s="2"/>
      <c r="M16" s="1"/>
      <c r="N16" s="1"/>
      <c r="O16" s="1"/>
    </row>
    <row r="17" spans="1:15">
      <c r="A17" s="22" t="s">
        <v>7</v>
      </c>
      <c r="B17" s="11" t="s">
        <v>42</v>
      </c>
      <c r="C17" s="12"/>
      <c r="D17" s="11"/>
      <c r="E17" s="11"/>
      <c r="F17" s="11"/>
      <c r="G17" s="1"/>
      <c r="H17" s="1"/>
      <c r="I17" s="1"/>
      <c r="J17" s="1"/>
      <c r="K17" s="1"/>
      <c r="L17" s="2"/>
      <c r="M17" s="1"/>
      <c r="N17" s="1"/>
      <c r="O17" s="1"/>
    </row>
    <row r="18" spans="1:15">
      <c r="A18" s="23" t="s">
        <v>40</v>
      </c>
      <c r="B18" s="11" t="s">
        <v>41</v>
      </c>
      <c r="C18" s="11"/>
      <c r="D18" s="1"/>
      <c r="E18" s="1"/>
      <c r="F18" s="1"/>
      <c r="G18" s="1"/>
      <c r="H18" s="1"/>
      <c r="I18" s="1"/>
      <c r="J18" s="1"/>
      <c r="K18" s="3"/>
      <c r="L18" s="2"/>
      <c r="M18" s="1"/>
      <c r="N18" s="1"/>
      <c r="O18" s="1"/>
    </row>
    <row r="19" spans="1:15">
      <c r="A19" s="22" t="s">
        <v>31</v>
      </c>
      <c r="B19" s="11" t="s">
        <v>33</v>
      </c>
      <c r="C19" s="12"/>
      <c r="D19" s="12"/>
      <c r="E19" s="12"/>
      <c r="F19" s="12"/>
      <c r="G19" s="12"/>
      <c r="H19" s="12"/>
      <c r="I19" s="12"/>
      <c r="J19" s="12"/>
      <c r="K19" s="12"/>
    </row>
    <row r="20" spans="1:15">
      <c r="A20" s="22" t="s">
        <v>24</v>
      </c>
      <c r="B20" s="11" t="s">
        <v>35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5">
      <c r="A21" s="22" t="s">
        <v>236</v>
      </c>
      <c r="B21" s="11" t="s">
        <v>297</v>
      </c>
      <c r="C21" s="12"/>
      <c r="D21" s="12"/>
      <c r="E21" s="12"/>
      <c r="F21" s="12"/>
      <c r="G21" s="12"/>
      <c r="H21" s="12"/>
      <c r="I21" s="12"/>
      <c r="J21" s="12"/>
      <c r="K21" s="12"/>
    </row>
    <row r="22" spans="1:15">
      <c r="D22" s="12"/>
      <c r="F22" s="1"/>
      <c r="G22" s="1"/>
      <c r="H22" s="1"/>
      <c r="I22" s="1"/>
      <c r="J22" s="1"/>
      <c r="K22" s="3"/>
    </row>
    <row r="23" spans="1:15" ht="25">
      <c r="A23" s="61" t="s">
        <v>151</v>
      </c>
      <c r="B23" s="4" t="s">
        <v>1</v>
      </c>
      <c r="C23" s="4" t="s">
        <v>2</v>
      </c>
      <c r="D23" s="44" t="s">
        <v>74</v>
      </c>
      <c r="E23" s="6" t="s">
        <v>196</v>
      </c>
      <c r="F23" s="6" t="s">
        <v>15</v>
      </c>
      <c r="G23" s="6" t="s">
        <v>153</v>
      </c>
      <c r="H23" s="4" t="s">
        <v>4</v>
      </c>
      <c r="I23" s="4" t="s">
        <v>43</v>
      </c>
      <c r="J23" s="4" t="s">
        <v>6</v>
      </c>
      <c r="K23" s="4" t="s">
        <v>24</v>
      </c>
      <c r="L23" s="4" t="s">
        <v>23</v>
      </c>
      <c r="M23" s="117" t="s">
        <v>235</v>
      </c>
    </row>
    <row r="24" spans="1:15">
      <c r="A24" s="62" t="s">
        <v>154</v>
      </c>
      <c r="B24" s="45" t="s">
        <v>313</v>
      </c>
      <c r="C24" s="27">
        <v>1</v>
      </c>
      <c r="D24" s="28">
        <v>0.1</v>
      </c>
      <c r="E24" s="83">
        <f t="shared" ref="E24:E27" si="0">C24*F24</f>
        <v>2.8963440000000007E-10</v>
      </c>
      <c r="F24" s="84">
        <f t="shared" ref="F24:F30" si="1">G24*H24*I24*J24*K24*L24</f>
        <v>2.8963440000000007E-10</v>
      </c>
      <c r="G24" s="30">
        <f t="shared" ref="G24:G30" si="2">0.0207*10^-6</f>
        <v>2.07E-8</v>
      </c>
      <c r="H24" s="24">
        <v>3.3000000000000002E-2</v>
      </c>
      <c r="I24" s="24">
        <f>0.53</f>
        <v>0.53</v>
      </c>
      <c r="J24" s="24">
        <v>4</v>
      </c>
      <c r="K24" s="28">
        <v>0.2</v>
      </c>
      <c r="L24" s="24">
        <v>1</v>
      </c>
      <c r="M24" s="28">
        <v>30</v>
      </c>
    </row>
    <row r="25" spans="1:15">
      <c r="A25" s="62" t="s">
        <v>155</v>
      </c>
      <c r="B25" s="31" t="s">
        <v>323</v>
      </c>
      <c r="C25" s="27">
        <v>1</v>
      </c>
      <c r="D25" s="28">
        <v>0.1</v>
      </c>
      <c r="E25" s="83">
        <f t="shared" si="0"/>
        <v>8.1425520000000006E-10</v>
      </c>
      <c r="F25" s="84">
        <f t="shared" si="1"/>
        <v>8.1425520000000006E-10</v>
      </c>
      <c r="G25" s="30">
        <f t="shared" si="2"/>
        <v>2.07E-8</v>
      </c>
      <c r="H25" s="24">
        <v>3.3000000000000002E-2</v>
      </c>
      <c r="I25" s="24">
        <f>1.49</f>
        <v>1.49</v>
      </c>
      <c r="J25" s="24">
        <v>4</v>
      </c>
      <c r="K25" s="28">
        <v>0.2</v>
      </c>
      <c r="L25" s="24">
        <v>1</v>
      </c>
      <c r="M25" s="28">
        <v>30</v>
      </c>
    </row>
    <row r="26" spans="1:15">
      <c r="A26" s="62" t="s">
        <v>156</v>
      </c>
      <c r="B26" s="31" t="s">
        <v>324</v>
      </c>
      <c r="C26" s="27">
        <v>1</v>
      </c>
      <c r="D26" s="28">
        <v>0.1</v>
      </c>
      <c r="E26" s="83">
        <f t="shared" si="0"/>
        <v>3.8253600000000002E-10</v>
      </c>
      <c r="F26" s="84">
        <f t="shared" si="1"/>
        <v>3.8253600000000002E-10</v>
      </c>
      <c r="G26" s="30">
        <f t="shared" si="2"/>
        <v>2.07E-8</v>
      </c>
      <c r="H26" s="24">
        <v>3.3000000000000002E-2</v>
      </c>
      <c r="I26" s="24">
        <f>0.7</f>
        <v>0.7</v>
      </c>
      <c r="J26" s="24">
        <v>4</v>
      </c>
      <c r="K26" s="28">
        <v>0.2</v>
      </c>
      <c r="L26" s="24">
        <v>1</v>
      </c>
      <c r="M26" s="28">
        <v>30</v>
      </c>
    </row>
    <row r="27" spans="1:15">
      <c r="A27" s="62" t="s">
        <v>157</v>
      </c>
      <c r="B27" s="45" t="s">
        <v>315</v>
      </c>
      <c r="C27" s="27">
        <v>1</v>
      </c>
      <c r="D27" s="28">
        <v>0.21</v>
      </c>
      <c r="E27" s="83">
        <f t="shared" si="0"/>
        <v>1.2176567999999999E-9</v>
      </c>
      <c r="F27" s="84">
        <f t="shared" si="1"/>
        <v>1.2176567999999999E-9</v>
      </c>
      <c r="G27" s="30">
        <f t="shared" si="2"/>
        <v>2.07E-8</v>
      </c>
      <c r="H27" s="24">
        <v>4.2999999999999997E-2</v>
      </c>
      <c r="I27" s="24">
        <f>1.71</f>
        <v>1.71</v>
      </c>
      <c r="J27" s="24">
        <v>4</v>
      </c>
      <c r="K27" s="28">
        <v>0.2</v>
      </c>
      <c r="L27" s="24">
        <v>1</v>
      </c>
      <c r="M27" s="28">
        <v>30</v>
      </c>
    </row>
    <row r="28" spans="1:15">
      <c r="A28" s="62" t="s">
        <v>158</v>
      </c>
      <c r="B28" s="31" t="s">
        <v>325</v>
      </c>
      <c r="C28" s="27">
        <v>1</v>
      </c>
      <c r="D28" s="28">
        <v>0.1</v>
      </c>
      <c r="E28" s="83">
        <f t="shared" ref="E28:E30" si="3">C28*F28</f>
        <v>8.6890320000000016E-10</v>
      </c>
      <c r="F28" s="84">
        <f t="shared" si="1"/>
        <v>8.6890320000000016E-10</v>
      </c>
      <c r="G28" s="30">
        <f t="shared" si="2"/>
        <v>2.07E-8</v>
      </c>
      <c r="H28" s="24">
        <v>3.3000000000000002E-2</v>
      </c>
      <c r="I28" s="24">
        <f>1.59</f>
        <v>1.59</v>
      </c>
      <c r="J28" s="24">
        <v>4</v>
      </c>
      <c r="K28" s="28">
        <v>0.2</v>
      </c>
      <c r="L28" s="24">
        <v>1</v>
      </c>
      <c r="M28" s="28">
        <v>30</v>
      </c>
    </row>
    <row r="29" spans="1:15">
      <c r="A29" s="62" t="s">
        <v>159</v>
      </c>
      <c r="B29" s="31" t="s">
        <v>325</v>
      </c>
      <c r="C29" s="27">
        <v>1</v>
      </c>
      <c r="D29" s="28">
        <v>0.11</v>
      </c>
      <c r="E29" s="83">
        <f t="shared" si="3"/>
        <v>8.9523360000000013E-10</v>
      </c>
      <c r="F29" s="84">
        <f t="shared" si="1"/>
        <v>8.9523360000000013E-10</v>
      </c>
      <c r="G29" s="30">
        <f t="shared" si="2"/>
        <v>2.07E-8</v>
      </c>
      <c r="H29" s="24">
        <v>3.4000000000000002E-2</v>
      </c>
      <c r="I29" s="24">
        <f>1.59</f>
        <v>1.59</v>
      </c>
      <c r="J29" s="24">
        <v>4</v>
      </c>
      <c r="K29" s="28">
        <v>0.2</v>
      </c>
      <c r="L29" s="24">
        <v>1</v>
      </c>
      <c r="M29" s="28">
        <v>30</v>
      </c>
    </row>
    <row r="30" spans="1:15">
      <c r="A30" s="62" t="s">
        <v>160</v>
      </c>
      <c r="B30" s="31" t="s">
        <v>325</v>
      </c>
      <c r="C30" s="27">
        <v>1</v>
      </c>
      <c r="D30" s="28">
        <v>0.1</v>
      </c>
      <c r="E30" s="83">
        <f t="shared" si="3"/>
        <v>8.6890320000000016E-10</v>
      </c>
      <c r="F30" s="84">
        <f t="shared" si="1"/>
        <v>8.6890320000000016E-10</v>
      </c>
      <c r="G30" s="30">
        <f t="shared" si="2"/>
        <v>2.07E-8</v>
      </c>
      <c r="H30" s="24">
        <v>3.3000000000000002E-2</v>
      </c>
      <c r="I30" s="24">
        <f>1.59</f>
        <v>1.59</v>
      </c>
      <c r="J30" s="24">
        <v>4</v>
      </c>
      <c r="K30" s="28">
        <v>0.2</v>
      </c>
      <c r="L30" s="24">
        <v>1</v>
      </c>
      <c r="M30" s="28">
        <v>30</v>
      </c>
    </row>
    <row r="31" spans="1:15" ht="15" thickBot="1">
      <c r="E31" s="48"/>
    </row>
    <row r="32" spans="1:15" ht="15" thickBot="1">
      <c r="D32" s="35" t="s">
        <v>75</v>
      </c>
      <c r="E32" s="54">
        <f>SUM(E24:E30)</f>
        <v>5.3371224000000002E-9</v>
      </c>
    </row>
    <row r="33" spans="1:13">
      <c r="D33" s="35"/>
    </row>
    <row r="34" spans="1:13">
      <c r="D34" s="35"/>
    </row>
    <row r="35" spans="1:13">
      <c r="D35" s="35"/>
    </row>
    <row r="36" spans="1:13">
      <c r="A36" s="25" t="s">
        <v>46</v>
      </c>
    </row>
    <row r="37" spans="1:13">
      <c r="A37" s="11" t="s">
        <v>197</v>
      </c>
    </row>
    <row r="38" spans="1:13">
      <c r="A38" s="11"/>
    </row>
    <row r="39" spans="1:13">
      <c r="A39" s="7" t="s">
        <v>16</v>
      </c>
      <c r="B39" s="11" t="s">
        <v>37</v>
      </c>
      <c r="C39" s="15"/>
      <c r="F39" s="11"/>
      <c r="I39" s="34">
        <f>0.064*10^-6</f>
        <v>6.4000000000000004E-8</v>
      </c>
      <c r="J39" s="56" t="s">
        <v>111</v>
      </c>
    </row>
    <row r="40" spans="1:13">
      <c r="A40" s="22" t="s">
        <v>5</v>
      </c>
      <c r="B40" s="11" t="s">
        <v>39</v>
      </c>
      <c r="C40" s="15"/>
      <c r="D40" s="11"/>
      <c r="E40" s="11"/>
      <c r="F40" s="11"/>
      <c r="G40" s="1"/>
      <c r="H40" s="1"/>
    </row>
    <row r="41" spans="1:13">
      <c r="A41" s="22" t="s">
        <v>236</v>
      </c>
      <c r="B41" s="11" t="s">
        <v>297</v>
      </c>
      <c r="C41" s="15"/>
      <c r="D41" s="11"/>
      <c r="E41" s="11"/>
      <c r="F41" s="11"/>
      <c r="G41" s="1"/>
      <c r="H41" s="1"/>
    </row>
    <row r="43" spans="1:13" ht="25">
      <c r="A43" s="61" t="s">
        <v>151</v>
      </c>
      <c r="B43" s="4" t="s">
        <v>1</v>
      </c>
      <c r="C43" s="4" t="s">
        <v>2</v>
      </c>
      <c r="D43" s="44" t="s">
        <v>74</v>
      </c>
      <c r="E43" s="6" t="s">
        <v>196</v>
      </c>
      <c r="F43" s="6" t="s">
        <v>15</v>
      </c>
      <c r="G43" s="6" t="s">
        <v>16</v>
      </c>
      <c r="H43" s="4" t="s">
        <v>4</v>
      </c>
      <c r="I43" s="4" t="s">
        <v>5</v>
      </c>
      <c r="J43" s="4" t="s">
        <v>6</v>
      </c>
      <c r="K43" s="4" t="s">
        <v>24</v>
      </c>
      <c r="L43" s="4" t="s">
        <v>23</v>
      </c>
      <c r="M43" s="117" t="s">
        <v>235</v>
      </c>
    </row>
    <row r="44" spans="1:13">
      <c r="A44" s="62" t="s">
        <v>161</v>
      </c>
      <c r="B44" s="116" t="s">
        <v>493</v>
      </c>
      <c r="C44" s="27">
        <v>1</v>
      </c>
      <c r="D44" s="28">
        <v>0.21</v>
      </c>
      <c r="E44" s="83">
        <f>C44*F44</f>
        <v>2.7648000000000002E-9</v>
      </c>
      <c r="F44" s="30">
        <f>G44*H44*I44*J44*K44*L44</f>
        <v>2.7648000000000002E-9</v>
      </c>
      <c r="G44" s="28">
        <f>0.064*10^-6</f>
        <v>6.4000000000000004E-8</v>
      </c>
      <c r="H44" s="24">
        <f>0.18</f>
        <v>0.18</v>
      </c>
      <c r="I44" s="24">
        <f>1</f>
        <v>1</v>
      </c>
      <c r="J44" s="24">
        <v>4</v>
      </c>
      <c r="K44" s="28">
        <v>0.2</v>
      </c>
      <c r="L44" s="24">
        <v>0.3</v>
      </c>
      <c r="M44" s="28">
        <v>30</v>
      </c>
    </row>
    <row r="45" spans="1:13" ht="15" thickBot="1">
      <c r="E45" s="48"/>
    </row>
    <row r="46" spans="1:13" ht="15" thickBot="1">
      <c r="D46" s="35" t="s">
        <v>75</v>
      </c>
      <c r="E46" s="54">
        <f>SUM(E44:E44)</f>
        <v>2.7648000000000002E-9</v>
      </c>
    </row>
    <row r="47" spans="1:13">
      <c r="D47" s="35"/>
    </row>
    <row r="48" spans="1:13">
      <c r="D48" s="35"/>
    </row>
    <row r="49" spans="1:11">
      <c r="D49" s="35"/>
    </row>
    <row r="50" spans="1:11">
      <c r="A50" s="34" t="s">
        <v>49</v>
      </c>
      <c r="B50" s="34"/>
      <c r="C50" s="34"/>
      <c r="D50" s="34"/>
      <c r="E50" s="34"/>
    </row>
    <row r="51" spans="1:11">
      <c r="A51" s="11" t="s">
        <v>247</v>
      </c>
      <c r="B51" s="34"/>
      <c r="C51" s="11"/>
      <c r="D51" s="11"/>
      <c r="E51" s="11"/>
      <c r="F51" s="11"/>
      <c r="G51" s="11"/>
      <c r="H51" s="11"/>
      <c r="I51" s="11"/>
      <c r="J51" s="11"/>
    </row>
    <row r="52" spans="1:11">
      <c r="A52" s="11"/>
      <c r="B52" s="34"/>
      <c r="C52" s="11"/>
      <c r="D52" s="11"/>
      <c r="E52" s="11"/>
      <c r="F52" s="11"/>
      <c r="G52" s="11"/>
      <c r="H52" s="11"/>
      <c r="I52" s="11"/>
      <c r="J52" s="11"/>
    </row>
    <row r="53" spans="1:11">
      <c r="B53" s="11"/>
      <c r="I53" s="11" t="s">
        <v>421</v>
      </c>
      <c r="J53" s="94">
        <v>1E-8</v>
      </c>
      <c r="K53" s="11" t="s">
        <v>443</v>
      </c>
    </row>
    <row r="54" spans="1:11">
      <c r="A54" s="7" t="s">
        <v>15</v>
      </c>
      <c r="B54" s="11" t="s">
        <v>239</v>
      </c>
      <c r="C54" s="15"/>
      <c r="E54" s="11"/>
      <c r="F54" s="11"/>
      <c r="G54" s="11"/>
      <c r="H54" s="1"/>
    </row>
    <row r="55" spans="1:11">
      <c r="A55" s="22" t="s">
        <v>236</v>
      </c>
      <c r="B55" s="11" t="s">
        <v>297</v>
      </c>
      <c r="C55" s="26"/>
      <c r="D55" s="11"/>
      <c r="E55" s="11"/>
      <c r="F55" s="11"/>
      <c r="G55" s="1"/>
      <c r="H55" s="1"/>
      <c r="J55" s="11"/>
    </row>
    <row r="57" spans="1:11">
      <c r="A57" s="73" t="s">
        <v>151</v>
      </c>
      <c r="B57" s="74" t="s">
        <v>1</v>
      </c>
      <c r="C57" s="74" t="s">
        <v>2</v>
      </c>
      <c r="D57" s="75" t="s">
        <v>8</v>
      </c>
      <c r="E57" s="72" t="s">
        <v>79</v>
      </c>
      <c r="F57" s="41" t="s">
        <v>57</v>
      </c>
      <c r="G57" s="6" t="s">
        <v>196</v>
      </c>
      <c r="H57" s="6" t="s">
        <v>15</v>
      </c>
      <c r="I57" s="42" t="s">
        <v>235</v>
      </c>
    </row>
    <row r="58" spans="1:11">
      <c r="A58" s="62" t="s">
        <v>326</v>
      </c>
      <c r="B58" s="31" t="s">
        <v>420</v>
      </c>
      <c r="C58" s="27">
        <v>2</v>
      </c>
      <c r="D58" s="28">
        <v>5</v>
      </c>
      <c r="E58" s="28">
        <v>200</v>
      </c>
      <c r="F58" s="28" t="s">
        <v>59</v>
      </c>
      <c r="G58" s="29">
        <f>C58*H58</f>
        <v>2E-8</v>
      </c>
      <c r="H58" s="28">
        <f>0.01*10^-6</f>
        <v>1E-8</v>
      </c>
      <c r="I58" s="28">
        <v>30</v>
      </c>
    </row>
    <row r="60" spans="1:11" ht="15" thickBot="1"/>
    <row r="61" spans="1:11" ht="15" thickBot="1">
      <c r="F61" s="35" t="s">
        <v>75</v>
      </c>
      <c r="G61" s="36">
        <f>SUM(G58)</f>
        <v>2E-8</v>
      </c>
    </row>
    <row r="62" spans="1:11">
      <c r="D62" s="35"/>
    </row>
    <row r="63" spans="1:11">
      <c r="D63" s="35"/>
    </row>
    <row r="64" spans="1:11">
      <c r="A64" s="34" t="s">
        <v>104</v>
      </c>
      <c r="B64" s="34"/>
      <c r="C64" s="34"/>
    </row>
    <row r="65" spans="1:14">
      <c r="A65" s="11" t="s">
        <v>327</v>
      </c>
      <c r="B65" s="11"/>
      <c r="C65" s="11"/>
      <c r="D65" s="11"/>
      <c r="E65" s="11"/>
      <c r="F65" s="11"/>
      <c r="G65" s="11"/>
    </row>
    <row r="66" spans="1:14">
      <c r="H66" s="11"/>
    </row>
    <row r="67" spans="1:14">
      <c r="A67" s="7" t="s">
        <v>16</v>
      </c>
      <c r="B67" s="11" t="s">
        <v>37</v>
      </c>
      <c r="C67" s="15"/>
      <c r="E67" s="11"/>
      <c r="F67" s="11"/>
      <c r="G67" s="34">
        <f>0.0026*10^-6</f>
        <v>2.5999999999999997E-9</v>
      </c>
      <c r="H67" s="11" t="s">
        <v>198</v>
      </c>
    </row>
    <row r="68" spans="1:14">
      <c r="A68" s="22" t="s">
        <v>4</v>
      </c>
      <c r="B68" s="11" t="s">
        <v>38</v>
      </c>
      <c r="C68" s="26"/>
      <c r="D68" s="11"/>
      <c r="E68" s="11"/>
      <c r="F68" s="11"/>
      <c r="G68" s="1"/>
    </row>
    <row r="69" spans="1:14">
      <c r="A69" s="22" t="s">
        <v>6</v>
      </c>
      <c r="B69" s="11" t="s">
        <v>32</v>
      </c>
      <c r="C69" s="12"/>
      <c r="D69" s="12"/>
      <c r="E69" s="12"/>
      <c r="F69" s="12"/>
      <c r="H69" s="1"/>
    </row>
    <row r="70" spans="1:14">
      <c r="A70" s="22" t="s">
        <v>7</v>
      </c>
      <c r="B70" s="11" t="s">
        <v>42</v>
      </c>
      <c r="C70" s="12"/>
      <c r="D70" s="11"/>
      <c r="E70" s="11"/>
      <c r="F70" s="11"/>
      <c r="G70" s="1"/>
    </row>
    <row r="71" spans="1:14">
      <c r="A71" s="22" t="s">
        <v>236</v>
      </c>
      <c r="B71" s="11" t="s">
        <v>297</v>
      </c>
      <c r="H71" s="1"/>
    </row>
    <row r="73" spans="1:14" ht="25">
      <c r="A73" s="61" t="s">
        <v>151</v>
      </c>
      <c r="B73" s="4" t="s">
        <v>1</v>
      </c>
      <c r="C73" s="4" t="s">
        <v>2</v>
      </c>
      <c r="D73" s="44" t="s">
        <v>80</v>
      </c>
      <c r="E73" s="6" t="s">
        <v>196</v>
      </c>
      <c r="F73" s="6" t="s">
        <v>15</v>
      </c>
      <c r="G73" s="6" t="s">
        <v>16</v>
      </c>
      <c r="H73" s="4" t="s">
        <v>4</v>
      </c>
      <c r="I73" s="4" t="s">
        <v>6</v>
      </c>
      <c r="J73" s="4" t="s">
        <v>24</v>
      </c>
      <c r="K73" s="17" t="s">
        <v>23</v>
      </c>
      <c r="L73" s="42" t="s">
        <v>235</v>
      </c>
    </row>
    <row r="74" spans="1:14">
      <c r="A74" s="62" t="s">
        <v>269</v>
      </c>
      <c r="B74" s="79" t="s">
        <v>328</v>
      </c>
      <c r="C74" s="27">
        <v>1</v>
      </c>
      <c r="D74" s="28">
        <v>0.1</v>
      </c>
      <c r="E74" s="83">
        <f>C74*F74</f>
        <v>9.7759999999999981E-10</v>
      </c>
      <c r="F74" s="84">
        <f>G74*H74*J74*I74*K74</f>
        <v>9.7759999999999981E-10</v>
      </c>
      <c r="G74" s="40">
        <f>G67</f>
        <v>2.5999999999999997E-9</v>
      </c>
      <c r="H74" s="24">
        <v>0.47</v>
      </c>
      <c r="I74" s="24">
        <v>4</v>
      </c>
      <c r="J74" s="28">
        <v>0.2</v>
      </c>
      <c r="K74" s="24">
        <v>1</v>
      </c>
      <c r="L74" s="28">
        <v>30</v>
      </c>
    </row>
    <row r="75" spans="1:14" ht="15" thickBot="1"/>
    <row r="76" spans="1:14" ht="15" thickBot="1">
      <c r="D76" s="35" t="s">
        <v>75</v>
      </c>
      <c r="E76" s="54">
        <f>SUM(E74)</f>
        <v>9.7759999999999981E-10</v>
      </c>
    </row>
    <row r="77" spans="1:14">
      <c r="D77" s="35"/>
    </row>
    <row r="78" spans="1:14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2"/>
      <c r="L78" s="12"/>
    </row>
    <row r="79" spans="1:14">
      <c r="A79" s="25" t="s">
        <v>45</v>
      </c>
      <c r="B79" s="25"/>
      <c r="C79" s="25"/>
      <c r="D79" s="25"/>
      <c r="E79" s="25"/>
      <c r="F79" s="11"/>
      <c r="G79" s="25"/>
    </row>
    <row r="80" spans="1:14">
      <c r="A80" s="11" t="s">
        <v>199</v>
      </c>
      <c r="B80" s="11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2"/>
    </row>
    <row r="81" spans="1:15">
      <c r="A81" s="12"/>
      <c r="B81" s="11"/>
      <c r="C81" s="12"/>
      <c r="D81" s="12"/>
      <c r="E81" s="12"/>
      <c r="F81" s="12"/>
      <c r="G81" s="12"/>
      <c r="H81" s="12"/>
      <c r="I81" s="12"/>
      <c r="J81" s="12"/>
      <c r="K81" s="14"/>
      <c r="L81" s="15"/>
      <c r="M81" s="11"/>
    </row>
    <row r="82" spans="1:15">
      <c r="A82" s="7" t="s">
        <v>17</v>
      </c>
      <c r="B82" s="11" t="s">
        <v>3</v>
      </c>
      <c r="C82" s="12"/>
      <c r="G82" s="58" t="s">
        <v>122</v>
      </c>
      <c r="H82" s="34">
        <f>0.049*10^-6</f>
        <v>4.9000000000000002E-8</v>
      </c>
      <c r="I82" s="11" t="s">
        <v>123</v>
      </c>
      <c r="J82" s="11"/>
      <c r="K82" s="13"/>
      <c r="L82" s="11"/>
      <c r="M82" s="11"/>
      <c r="N82" s="11"/>
    </row>
    <row r="83" spans="1:15">
      <c r="A83" s="22" t="s">
        <v>4</v>
      </c>
      <c r="B83" s="11" t="s">
        <v>38</v>
      </c>
      <c r="C83" s="12"/>
      <c r="D83" s="12"/>
      <c r="E83" s="12"/>
      <c r="F83" s="12"/>
      <c r="G83" s="58"/>
      <c r="H83" s="34"/>
      <c r="I83" s="11"/>
      <c r="J83" s="11"/>
      <c r="K83" s="13"/>
      <c r="L83" s="11"/>
      <c r="M83" s="11"/>
      <c r="N83" s="11"/>
    </row>
    <row r="84" spans="1:15">
      <c r="A84" s="23" t="s">
        <v>234</v>
      </c>
      <c r="B84" s="11" t="s">
        <v>28</v>
      </c>
      <c r="C84" s="11"/>
      <c r="D84" s="12"/>
      <c r="E84" s="12"/>
      <c r="F84" s="12"/>
      <c r="G84" s="12"/>
      <c r="H84" s="12"/>
      <c r="I84" s="12"/>
      <c r="J84" s="12"/>
      <c r="K84" s="14"/>
      <c r="L84" s="15"/>
      <c r="M84" s="11"/>
    </row>
    <row r="85" spans="1:15">
      <c r="A85" s="23" t="s">
        <v>20</v>
      </c>
      <c r="B85" s="11" t="s">
        <v>29</v>
      </c>
      <c r="C85" s="11"/>
      <c r="D85" s="12"/>
      <c r="E85" s="12"/>
      <c r="F85" s="12"/>
      <c r="G85" s="12"/>
      <c r="H85" s="12"/>
      <c r="I85" s="12"/>
      <c r="J85" s="12"/>
      <c r="K85" s="14"/>
      <c r="L85" s="15"/>
      <c r="M85" s="11"/>
    </row>
    <row r="86" spans="1:15">
      <c r="A86" s="23" t="s">
        <v>21</v>
      </c>
      <c r="B86" s="11" t="s">
        <v>30</v>
      </c>
      <c r="C86" s="12"/>
      <c r="D86" s="12"/>
      <c r="E86" s="12"/>
      <c r="F86" s="12"/>
      <c r="G86" s="12"/>
      <c r="H86" s="12"/>
      <c r="I86" s="12"/>
      <c r="J86" s="12"/>
      <c r="K86" s="14"/>
      <c r="L86" s="15"/>
      <c r="M86" s="11"/>
    </row>
    <row r="87" spans="1:15">
      <c r="A87" s="22" t="s">
        <v>6</v>
      </c>
      <c r="B87" s="11" t="s">
        <v>32</v>
      </c>
      <c r="C87" s="12"/>
      <c r="D87" s="12"/>
      <c r="E87" s="12"/>
      <c r="F87" s="12"/>
      <c r="G87" s="11"/>
      <c r="H87" s="12"/>
      <c r="I87" s="12"/>
      <c r="J87" s="12"/>
      <c r="K87" s="14"/>
      <c r="L87" s="16"/>
      <c r="M87" s="12"/>
    </row>
    <row r="88" spans="1:15">
      <c r="A88" s="22" t="s">
        <v>31</v>
      </c>
      <c r="B88" s="11" t="s">
        <v>33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5">
      <c r="A89" s="22" t="s">
        <v>7</v>
      </c>
      <c r="B89" s="11" t="s">
        <v>34</v>
      </c>
      <c r="C89" s="12"/>
      <c r="D89" s="12"/>
      <c r="G89" s="12"/>
      <c r="H89" s="12"/>
      <c r="I89" s="12"/>
      <c r="J89" s="12"/>
      <c r="K89" s="12"/>
    </row>
    <row r="90" spans="1:15">
      <c r="A90" s="22" t="s">
        <v>24</v>
      </c>
      <c r="B90" s="11" t="s">
        <v>35</v>
      </c>
      <c r="C90" s="12"/>
      <c r="D90" s="12"/>
      <c r="G90" s="12"/>
      <c r="H90" s="12"/>
      <c r="I90" s="12"/>
      <c r="J90" s="12"/>
      <c r="K90" s="12"/>
    </row>
    <row r="91" spans="1:15">
      <c r="A91" s="22" t="s">
        <v>236</v>
      </c>
      <c r="B91" s="11" t="s">
        <v>297</v>
      </c>
      <c r="C91" s="12"/>
      <c r="D91" s="12"/>
      <c r="G91" s="12"/>
      <c r="H91" s="12"/>
      <c r="I91" s="12"/>
      <c r="J91" s="12"/>
      <c r="K91" s="12"/>
    </row>
    <row r="93" spans="1:15" ht="25">
      <c r="A93" s="61" t="s">
        <v>151</v>
      </c>
      <c r="B93" s="65" t="s">
        <v>1</v>
      </c>
      <c r="C93" s="65" t="s">
        <v>2</v>
      </c>
      <c r="D93" s="111" t="s">
        <v>73</v>
      </c>
      <c r="E93" s="112" t="s">
        <v>196</v>
      </c>
      <c r="F93" s="112" t="s">
        <v>15</v>
      </c>
      <c r="G93" s="112" t="s">
        <v>17</v>
      </c>
      <c r="H93" s="113" t="s">
        <v>4</v>
      </c>
      <c r="I93" s="113" t="s">
        <v>234</v>
      </c>
      <c r="J93" s="113" t="s">
        <v>20</v>
      </c>
      <c r="K93" s="114" t="s">
        <v>21</v>
      </c>
      <c r="L93" s="113" t="s">
        <v>22</v>
      </c>
      <c r="M93" s="113" t="s">
        <v>23</v>
      </c>
      <c r="N93" s="115" t="s">
        <v>24</v>
      </c>
      <c r="O93" s="114" t="s">
        <v>235</v>
      </c>
    </row>
    <row r="94" spans="1:15">
      <c r="A94" s="82" t="s">
        <v>240</v>
      </c>
      <c r="B94" s="31" t="s">
        <v>335</v>
      </c>
      <c r="C94" s="100">
        <v>1</v>
      </c>
      <c r="D94" s="40">
        <v>0.1</v>
      </c>
      <c r="E94" s="85">
        <f t="shared" ref="E94:E100" si="4">C94*F94</f>
        <v>1.4817600000000002E-10</v>
      </c>
      <c r="F94" s="20">
        <f t="shared" ref="F94:F100" si="5">G94*H94*I94*J94*K94*L94*M94*N94</f>
        <v>1.4817600000000002E-10</v>
      </c>
      <c r="G94" s="28">
        <f t="shared" ref="G94:G112" si="6">0.049*10^-6</f>
        <v>4.9000000000000002E-8</v>
      </c>
      <c r="H94" s="24">
        <v>0.36</v>
      </c>
      <c r="I94" s="24">
        <v>1</v>
      </c>
      <c r="J94" s="24">
        <f>0.7</f>
        <v>0.7</v>
      </c>
      <c r="K94" s="24">
        <v>0.05</v>
      </c>
      <c r="L94" s="24">
        <v>4</v>
      </c>
      <c r="M94" s="24">
        <f t="shared" ref="M94:M112" si="7">0.3</f>
        <v>0.3</v>
      </c>
      <c r="N94" s="24">
        <v>0.2</v>
      </c>
      <c r="O94" s="28">
        <v>30</v>
      </c>
    </row>
    <row r="95" spans="1:15">
      <c r="A95" s="82" t="s">
        <v>183</v>
      </c>
      <c r="B95" s="31" t="s">
        <v>336</v>
      </c>
      <c r="C95" s="100">
        <v>1</v>
      </c>
      <c r="D95" s="40">
        <v>0.1</v>
      </c>
      <c r="E95" s="85">
        <f t="shared" si="4"/>
        <v>1.4817600000000002E-10</v>
      </c>
      <c r="F95" s="20">
        <f t="shared" si="5"/>
        <v>1.4817600000000002E-10</v>
      </c>
      <c r="G95" s="28">
        <f t="shared" si="6"/>
        <v>4.9000000000000002E-8</v>
      </c>
      <c r="H95" s="24">
        <v>0.36</v>
      </c>
      <c r="I95" s="24">
        <v>1</v>
      </c>
      <c r="J95" s="24">
        <f t="shared" ref="J95:J100" si="8">0.7</f>
        <v>0.7</v>
      </c>
      <c r="K95" s="24">
        <v>0.05</v>
      </c>
      <c r="L95" s="24">
        <v>4</v>
      </c>
      <c r="M95" s="24">
        <f t="shared" si="7"/>
        <v>0.3</v>
      </c>
      <c r="N95" s="24">
        <v>0.2</v>
      </c>
      <c r="O95" s="28">
        <v>30</v>
      </c>
    </row>
    <row r="96" spans="1:15">
      <c r="A96" s="82" t="s">
        <v>185</v>
      </c>
      <c r="B96" s="31" t="s">
        <v>336</v>
      </c>
      <c r="C96" s="100">
        <v>1</v>
      </c>
      <c r="D96" s="40">
        <v>0.1</v>
      </c>
      <c r="E96" s="85">
        <f t="shared" si="4"/>
        <v>1.4817600000000002E-10</v>
      </c>
      <c r="F96" s="20">
        <f t="shared" si="5"/>
        <v>1.4817600000000002E-10</v>
      </c>
      <c r="G96" s="28">
        <f t="shared" si="6"/>
        <v>4.9000000000000002E-8</v>
      </c>
      <c r="H96" s="24">
        <v>0.36</v>
      </c>
      <c r="I96" s="24">
        <v>1</v>
      </c>
      <c r="J96" s="24">
        <f t="shared" si="8"/>
        <v>0.7</v>
      </c>
      <c r="K96" s="24">
        <v>0.05</v>
      </c>
      <c r="L96" s="24">
        <v>4</v>
      </c>
      <c r="M96" s="24">
        <f t="shared" si="7"/>
        <v>0.3</v>
      </c>
      <c r="N96" s="24">
        <v>0.2</v>
      </c>
      <c r="O96" s="28">
        <v>30</v>
      </c>
    </row>
    <row r="97" spans="1:15">
      <c r="A97" s="82" t="s">
        <v>164</v>
      </c>
      <c r="B97" s="31" t="s">
        <v>337</v>
      </c>
      <c r="C97" s="100">
        <v>1</v>
      </c>
      <c r="D97" s="40">
        <v>0.1</v>
      </c>
      <c r="E97" s="85">
        <f t="shared" si="4"/>
        <v>1.4817600000000002E-10</v>
      </c>
      <c r="F97" s="20">
        <f t="shared" si="5"/>
        <v>1.4817600000000002E-10</v>
      </c>
      <c r="G97" s="28">
        <f t="shared" si="6"/>
        <v>4.9000000000000002E-8</v>
      </c>
      <c r="H97" s="24">
        <v>0.36</v>
      </c>
      <c r="I97" s="24">
        <v>1</v>
      </c>
      <c r="J97" s="24">
        <f t="shared" si="8"/>
        <v>0.7</v>
      </c>
      <c r="K97" s="24">
        <v>0.05</v>
      </c>
      <c r="L97" s="24">
        <v>4</v>
      </c>
      <c r="M97" s="24">
        <f t="shared" si="7"/>
        <v>0.3</v>
      </c>
      <c r="N97" s="24">
        <v>0.2</v>
      </c>
      <c r="O97" s="28">
        <v>30</v>
      </c>
    </row>
    <row r="98" spans="1:15">
      <c r="A98" s="82" t="s">
        <v>165</v>
      </c>
      <c r="B98" s="80" t="s">
        <v>334</v>
      </c>
      <c r="C98" s="100">
        <v>1</v>
      </c>
      <c r="D98" s="40">
        <v>0.1</v>
      </c>
      <c r="E98" s="85">
        <f t="shared" si="4"/>
        <v>1.037232E-10</v>
      </c>
      <c r="F98" s="20">
        <f t="shared" si="5"/>
        <v>1.037232E-10</v>
      </c>
      <c r="G98" s="28">
        <f t="shared" si="6"/>
        <v>4.9000000000000002E-8</v>
      </c>
      <c r="H98" s="24">
        <v>0.36</v>
      </c>
      <c r="I98" s="24">
        <v>0.7</v>
      </c>
      <c r="J98" s="24">
        <f>0.7</f>
        <v>0.7</v>
      </c>
      <c r="K98" s="24">
        <v>0.05</v>
      </c>
      <c r="L98" s="24">
        <v>4</v>
      </c>
      <c r="M98" s="24">
        <f t="shared" si="7"/>
        <v>0.3</v>
      </c>
      <c r="N98" s="24">
        <v>0.2</v>
      </c>
      <c r="O98" s="28">
        <v>30</v>
      </c>
    </row>
    <row r="99" spans="1:15">
      <c r="A99" s="82" t="s">
        <v>166</v>
      </c>
      <c r="B99" s="80" t="s">
        <v>329</v>
      </c>
      <c r="C99" s="100">
        <v>1</v>
      </c>
      <c r="D99" s="40">
        <v>0.1</v>
      </c>
      <c r="E99" s="85">
        <f t="shared" si="4"/>
        <v>1.037232E-10</v>
      </c>
      <c r="F99" s="20">
        <f t="shared" si="5"/>
        <v>1.037232E-10</v>
      </c>
      <c r="G99" s="28">
        <f t="shared" si="6"/>
        <v>4.9000000000000002E-8</v>
      </c>
      <c r="H99" s="24">
        <v>0.36</v>
      </c>
      <c r="I99" s="24">
        <v>0.7</v>
      </c>
      <c r="J99" s="24">
        <f t="shared" si="8"/>
        <v>0.7</v>
      </c>
      <c r="K99" s="24">
        <v>0.05</v>
      </c>
      <c r="L99" s="24">
        <v>4</v>
      </c>
      <c r="M99" s="24">
        <f t="shared" si="7"/>
        <v>0.3</v>
      </c>
      <c r="N99" s="24">
        <v>0.2</v>
      </c>
      <c r="O99" s="28">
        <v>30</v>
      </c>
    </row>
    <row r="100" spans="1:15">
      <c r="A100" s="82" t="s">
        <v>186</v>
      </c>
      <c r="B100" s="80" t="s">
        <v>329</v>
      </c>
      <c r="C100" s="100">
        <v>1</v>
      </c>
      <c r="D100" s="40">
        <v>0.1</v>
      </c>
      <c r="E100" s="85">
        <f t="shared" si="4"/>
        <v>1.037232E-10</v>
      </c>
      <c r="F100" s="20">
        <f t="shared" si="5"/>
        <v>1.037232E-10</v>
      </c>
      <c r="G100" s="28">
        <f t="shared" si="6"/>
        <v>4.9000000000000002E-8</v>
      </c>
      <c r="H100" s="24">
        <v>0.36</v>
      </c>
      <c r="I100" s="24">
        <v>0.7</v>
      </c>
      <c r="J100" s="24">
        <f t="shared" si="8"/>
        <v>0.7</v>
      </c>
      <c r="K100" s="24">
        <v>0.05</v>
      </c>
      <c r="L100" s="24">
        <v>4</v>
      </c>
      <c r="M100" s="24">
        <f t="shared" si="7"/>
        <v>0.3</v>
      </c>
      <c r="N100" s="24">
        <v>0.2</v>
      </c>
      <c r="O100" s="28">
        <v>30</v>
      </c>
    </row>
    <row r="101" spans="1:15">
      <c r="A101" s="82" t="s">
        <v>187</v>
      </c>
      <c r="B101" s="80" t="s">
        <v>330</v>
      </c>
      <c r="C101" s="100">
        <v>1</v>
      </c>
      <c r="D101" s="40">
        <v>0.1</v>
      </c>
      <c r="E101" s="85">
        <f t="shared" ref="E101:E108" si="9">C101*F101</f>
        <v>1.037232E-10</v>
      </c>
      <c r="F101" s="20">
        <f t="shared" ref="F101:F108" si="10">G101*H101*I101*J101*K101*L101*M101*N101</f>
        <v>1.037232E-10</v>
      </c>
      <c r="G101" s="28">
        <f t="shared" si="6"/>
        <v>4.9000000000000002E-8</v>
      </c>
      <c r="H101" s="24">
        <v>0.36</v>
      </c>
      <c r="I101" s="24">
        <v>0.7</v>
      </c>
      <c r="J101" s="24">
        <f>0.7</f>
        <v>0.7</v>
      </c>
      <c r="K101" s="24">
        <v>0.05</v>
      </c>
      <c r="L101" s="24">
        <v>4</v>
      </c>
      <c r="M101" s="24">
        <f t="shared" si="7"/>
        <v>0.3</v>
      </c>
      <c r="N101" s="24">
        <v>0.2</v>
      </c>
      <c r="O101" s="28">
        <v>30</v>
      </c>
    </row>
    <row r="102" spans="1:15">
      <c r="A102" s="82" t="s">
        <v>173</v>
      </c>
      <c r="B102" s="80" t="s">
        <v>331</v>
      </c>
      <c r="C102" s="100">
        <v>1</v>
      </c>
      <c r="D102" s="40">
        <v>0.1</v>
      </c>
      <c r="E102" s="85">
        <f t="shared" si="9"/>
        <v>1.037232E-10</v>
      </c>
      <c r="F102" s="20">
        <f t="shared" si="10"/>
        <v>1.037232E-10</v>
      </c>
      <c r="G102" s="28">
        <f t="shared" si="6"/>
        <v>4.9000000000000002E-8</v>
      </c>
      <c r="H102" s="24">
        <v>0.36</v>
      </c>
      <c r="I102" s="24">
        <v>0.7</v>
      </c>
      <c r="J102" s="24">
        <f>0.7</f>
        <v>0.7</v>
      </c>
      <c r="K102" s="24">
        <v>0.05</v>
      </c>
      <c r="L102" s="24">
        <v>4</v>
      </c>
      <c r="M102" s="24">
        <f t="shared" si="7"/>
        <v>0.3</v>
      </c>
      <c r="N102" s="24">
        <v>0.2</v>
      </c>
      <c r="O102" s="28">
        <v>30</v>
      </c>
    </row>
    <row r="103" spans="1:15">
      <c r="A103" s="82" t="s">
        <v>174</v>
      </c>
      <c r="B103" s="80" t="s">
        <v>332</v>
      </c>
      <c r="C103" s="100">
        <v>1</v>
      </c>
      <c r="D103" s="40">
        <v>0.1</v>
      </c>
      <c r="E103" s="85">
        <f t="shared" si="9"/>
        <v>2.9635200000000003E-10</v>
      </c>
      <c r="F103" s="20">
        <f t="shared" si="10"/>
        <v>2.9635200000000003E-10</v>
      </c>
      <c r="G103" s="28">
        <f t="shared" si="6"/>
        <v>4.9000000000000002E-8</v>
      </c>
      <c r="H103" s="24">
        <v>0.36</v>
      </c>
      <c r="I103" s="24">
        <v>2</v>
      </c>
      <c r="J103" s="24">
        <f t="shared" ref="J103:J111" si="11">0.7</f>
        <v>0.7</v>
      </c>
      <c r="K103" s="24">
        <v>0.05</v>
      </c>
      <c r="L103" s="24">
        <v>4</v>
      </c>
      <c r="M103" s="24">
        <f t="shared" si="7"/>
        <v>0.3</v>
      </c>
      <c r="N103" s="24">
        <v>0.2</v>
      </c>
      <c r="O103" s="28">
        <v>30</v>
      </c>
    </row>
    <row r="104" spans="1:15">
      <c r="A104" s="82" t="s">
        <v>175</v>
      </c>
      <c r="B104" s="80" t="s">
        <v>332</v>
      </c>
      <c r="C104" s="100">
        <v>1</v>
      </c>
      <c r="D104" s="40">
        <v>0.1</v>
      </c>
      <c r="E104" s="85">
        <f t="shared" si="9"/>
        <v>2.9635200000000003E-10</v>
      </c>
      <c r="F104" s="20">
        <f t="shared" si="10"/>
        <v>2.9635200000000003E-10</v>
      </c>
      <c r="G104" s="28">
        <f t="shared" si="6"/>
        <v>4.9000000000000002E-8</v>
      </c>
      <c r="H104" s="24">
        <v>0.36</v>
      </c>
      <c r="I104" s="24">
        <v>2</v>
      </c>
      <c r="J104" s="24">
        <f t="shared" si="11"/>
        <v>0.7</v>
      </c>
      <c r="K104" s="24">
        <v>0.05</v>
      </c>
      <c r="L104" s="24">
        <v>4</v>
      </c>
      <c r="M104" s="24">
        <f t="shared" si="7"/>
        <v>0.3</v>
      </c>
      <c r="N104" s="24">
        <v>0.2</v>
      </c>
      <c r="O104" s="28">
        <v>30</v>
      </c>
    </row>
    <row r="105" spans="1:15">
      <c r="A105" s="82" t="s">
        <v>176</v>
      </c>
      <c r="B105" s="80" t="s">
        <v>203</v>
      </c>
      <c r="C105" s="100">
        <v>1</v>
      </c>
      <c r="D105" s="40">
        <v>0.1</v>
      </c>
      <c r="E105" s="85">
        <f t="shared" si="9"/>
        <v>1.037232E-10</v>
      </c>
      <c r="F105" s="20">
        <f t="shared" si="10"/>
        <v>1.037232E-10</v>
      </c>
      <c r="G105" s="28">
        <f t="shared" si="6"/>
        <v>4.9000000000000002E-8</v>
      </c>
      <c r="H105" s="24">
        <v>0.36</v>
      </c>
      <c r="I105" s="24">
        <v>0.7</v>
      </c>
      <c r="J105" s="24">
        <f t="shared" si="11"/>
        <v>0.7</v>
      </c>
      <c r="K105" s="24">
        <v>0.05</v>
      </c>
      <c r="L105" s="24">
        <v>4</v>
      </c>
      <c r="M105" s="24">
        <f t="shared" si="7"/>
        <v>0.3</v>
      </c>
      <c r="N105" s="24">
        <v>0.2</v>
      </c>
      <c r="O105" s="28">
        <v>30</v>
      </c>
    </row>
    <row r="106" spans="1:15">
      <c r="A106" s="82" t="s">
        <v>177</v>
      </c>
      <c r="B106" s="80" t="s">
        <v>331</v>
      </c>
      <c r="C106" s="100">
        <v>1</v>
      </c>
      <c r="D106" s="40">
        <v>0.1</v>
      </c>
      <c r="E106" s="85">
        <f t="shared" si="9"/>
        <v>1.037232E-10</v>
      </c>
      <c r="F106" s="20">
        <f t="shared" si="10"/>
        <v>1.037232E-10</v>
      </c>
      <c r="G106" s="28">
        <f t="shared" si="6"/>
        <v>4.9000000000000002E-8</v>
      </c>
      <c r="H106" s="24">
        <v>0.36</v>
      </c>
      <c r="I106" s="24">
        <v>0.7</v>
      </c>
      <c r="J106" s="24">
        <f>0.7</f>
        <v>0.7</v>
      </c>
      <c r="K106" s="24">
        <v>0.05</v>
      </c>
      <c r="L106" s="24">
        <v>4</v>
      </c>
      <c r="M106" s="24">
        <f t="shared" si="7"/>
        <v>0.3</v>
      </c>
      <c r="N106" s="24">
        <v>0.2</v>
      </c>
      <c r="O106" s="28">
        <v>30</v>
      </c>
    </row>
    <row r="107" spans="1:15">
      <c r="A107" s="82" t="s">
        <v>178</v>
      </c>
      <c r="B107" s="80" t="s">
        <v>333</v>
      </c>
      <c r="C107" s="100">
        <v>1</v>
      </c>
      <c r="D107" s="40">
        <v>0.1</v>
      </c>
      <c r="E107" s="85">
        <f t="shared" si="9"/>
        <v>1.037232E-10</v>
      </c>
      <c r="F107" s="20">
        <f t="shared" si="10"/>
        <v>1.037232E-10</v>
      </c>
      <c r="G107" s="28">
        <f t="shared" si="6"/>
        <v>4.9000000000000002E-8</v>
      </c>
      <c r="H107" s="24">
        <v>0.36</v>
      </c>
      <c r="I107" s="24">
        <v>0.7</v>
      </c>
      <c r="J107" s="24">
        <f t="shared" si="11"/>
        <v>0.7</v>
      </c>
      <c r="K107" s="24">
        <v>0.05</v>
      </c>
      <c r="L107" s="24">
        <v>4</v>
      </c>
      <c r="M107" s="24">
        <f t="shared" si="7"/>
        <v>0.3</v>
      </c>
      <c r="N107" s="24">
        <v>0.2</v>
      </c>
      <c r="O107" s="28">
        <v>30</v>
      </c>
    </row>
    <row r="108" spans="1:15">
      <c r="A108" s="82" t="s">
        <v>179</v>
      </c>
      <c r="B108" s="80" t="s">
        <v>331</v>
      </c>
      <c r="C108" s="100">
        <v>1</v>
      </c>
      <c r="D108" s="40">
        <v>0.1</v>
      </c>
      <c r="E108" s="85">
        <f t="shared" si="9"/>
        <v>1.037232E-10</v>
      </c>
      <c r="F108" s="20">
        <f t="shared" si="10"/>
        <v>1.037232E-10</v>
      </c>
      <c r="G108" s="28">
        <f t="shared" si="6"/>
        <v>4.9000000000000002E-8</v>
      </c>
      <c r="H108" s="24">
        <v>0.36</v>
      </c>
      <c r="I108" s="24">
        <v>0.7</v>
      </c>
      <c r="J108" s="24">
        <f t="shared" si="11"/>
        <v>0.7</v>
      </c>
      <c r="K108" s="24">
        <v>0.05</v>
      </c>
      <c r="L108" s="24">
        <v>4</v>
      </c>
      <c r="M108" s="24">
        <f t="shared" si="7"/>
        <v>0.3</v>
      </c>
      <c r="N108" s="24">
        <v>0.2</v>
      </c>
      <c r="O108" s="28">
        <v>30</v>
      </c>
    </row>
    <row r="109" spans="1:15">
      <c r="A109" s="82" t="s">
        <v>180</v>
      </c>
      <c r="B109" s="80" t="s">
        <v>338</v>
      </c>
      <c r="C109" s="100">
        <v>1</v>
      </c>
      <c r="D109" s="40">
        <v>0.1</v>
      </c>
      <c r="E109" s="85">
        <f t="shared" ref="E109:E111" si="12">C109*F109</f>
        <v>1.037232E-10</v>
      </c>
      <c r="F109" s="20">
        <f t="shared" ref="F109:F111" si="13">G109*H109*I109*J109*K109*L109*M109*N109</f>
        <v>1.037232E-10</v>
      </c>
      <c r="G109" s="28">
        <f t="shared" si="6"/>
        <v>4.9000000000000002E-8</v>
      </c>
      <c r="H109" s="24">
        <v>0.36</v>
      </c>
      <c r="I109" s="24">
        <v>0.7</v>
      </c>
      <c r="J109" s="24">
        <f>0.7</f>
        <v>0.7</v>
      </c>
      <c r="K109" s="24">
        <v>0.05</v>
      </c>
      <c r="L109" s="24">
        <v>4</v>
      </c>
      <c r="M109" s="24">
        <f t="shared" si="7"/>
        <v>0.3</v>
      </c>
      <c r="N109" s="24">
        <v>0.2</v>
      </c>
      <c r="O109" s="28">
        <v>30</v>
      </c>
    </row>
    <row r="110" spans="1:15">
      <c r="A110" s="82" t="s">
        <v>249</v>
      </c>
      <c r="B110" s="31" t="s">
        <v>337</v>
      </c>
      <c r="C110" s="100">
        <v>1</v>
      </c>
      <c r="D110" s="40">
        <v>0.1</v>
      </c>
      <c r="E110" s="85">
        <f t="shared" si="12"/>
        <v>1.4817600000000002E-10</v>
      </c>
      <c r="F110" s="20">
        <f t="shared" si="13"/>
        <v>1.4817600000000002E-10</v>
      </c>
      <c r="G110" s="28">
        <f t="shared" si="6"/>
        <v>4.9000000000000002E-8</v>
      </c>
      <c r="H110" s="24">
        <v>0.36</v>
      </c>
      <c r="I110" s="24">
        <v>1</v>
      </c>
      <c r="J110" s="24">
        <f t="shared" si="11"/>
        <v>0.7</v>
      </c>
      <c r="K110" s="24">
        <v>0.05</v>
      </c>
      <c r="L110" s="24">
        <v>4</v>
      </c>
      <c r="M110" s="24">
        <f t="shared" si="7"/>
        <v>0.3</v>
      </c>
      <c r="N110" s="24">
        <v>0.2</v>
      </c>
      <c r="O110" s="28">
        <v>30</v>
      </c>
    </row>
    <row r="111" spans="1:15">
      <c r="A111" s="82" t="s">
        <v>250</v>
      </c>
      <c r="B111" s="80" t="s">
        <v>331</v>
      </c>
      <c r="C111" s="100">
        <v>1</v>
      </c>
      <c r="D111" s="40">
        <v>0.1</v>
      </c>
      <c r="E111" s="85">
        <f t="shared" si="12"/>
        <v>1.0660439999999998E-10</v>
      </c>
      <c r="F111" s="20">
        <f t="shared" si="13"/>
        <v>1.0660439999999998E-10</v>
      </c>
      <c r="G111" s="28">
        <f t="shared" si="6"/>
        <v>4.9000000000000002E-8</v>
      </c>
      <c r="H111" s="24">
        <v>0.37</v>
      </c>
      <c r="I111" s="24">
        <v>0.7</v>
      </c>
      <c r="J111" s="24">
        <f t="shared" si="11"/>
        <v>0.7</v>
      </c>
      <c r="K111" s="24">
        <v>0.05</v>
      </c>
      <c r="L111" s="24">
        <v>4</v>
      </c>
      <c r="M111" s="24">
        <f t="shared" si="7"/>
        <v>0.3</v>
      </c>
      <c r="N111" s="24">
        <v>0.2</v>
      </c>
      <c r="O111" s="28">
        <v>33</v>
      </c>
    </row>
    <row r="112" spans="1:15">
      <c r="A112" s="82" t="s">
        <v>188</v>
      </c>
      <c r="B112" s="31" t="s">
        <v>337</v>
      </c>
      <c r="C112" s="100">
        <v>1</v>
      </c>
      <c r="D112" s="40">
        <v>0.1</v>
      </c>
      <c r="E112" s="85">
        <f t="shared" ref="E112" si="14">C112*F112</f>
        <v>1.4817600000000002E-10</v>
      </c>
      <c r="F112" s="20">
        <f t="shared" ref="F112" si="15">G112*H112*I112*J112*K112*L112*M112*N112</f>
        <v>1.4817600000000002E-10</v>
      </c>
      <c r="G112" s="28">
        <f t="shared" si="6"/>
        <v>4.9000000000000002E-8</v>
      </c>
      <c r="H112" s="24">
        <v>0.36</v>
      </c>
      <c r="I112" s="24">
        <v>1</v>
      </c>
      <c r="J112" s="24">
        <f>0.7</f>
        <v>0.7</v>
      </c>
      <c r="K112" s="24">
        <v>0.05</v>
      </c>
      <c r="L112" s="24">
        <v>4</v>
      </c>
      <c r="M112" s="24">
        <f t="shared" si="7"/>
        <v>0.3</v>
      </c>
      <c r="N112" s="24">
        <v>0.2</v>
      </c>
      <c r="O112" s="28">
        <v>30</v>
      </c>
    </row>
    <row r="113" spans="1:9" ht="15" thickBot="1">
      <c r="E113" s="48"/>
    </row>
    <row r="114" spans="1:9" ht="15" thickBot="1">
      <c r="D114" s="35" t="s">
        <v>75</v>
      </c>
      <c r="E114" s="54">
        <f>SUM(E94:E112)</f>
        <v>2.6255963999999998E-9</v>
      </c>
    </row>
    <row r="117" spans="1:9">
      <c r="A117" s="34" t="s">
        <v>69</v>
      </c>
      <c r="B117" s="34"/>
      <c r="C117" s="34"/>
      <c r="D117" s="34"/>
    </row>
    <row r="118" spans="1:9">
      <c r="A118" s="11" t="s">
        <v>481</v>
      </c>
      <c r="B118" s="11"/>
      <c r="C118" s="11"/>
      <c r="D118" s="11"/>
      <c r="E118" s="11"/>
      <c r="F118" s="11"/>
      <c r="G118" s="11"/>
      <c r="H118" s="11"/>
    </row>
    <row r="119" spans="1:9">
      <c r="A119" s="34"/>
      <c r="B119" s="34"/>
      <c r="C119" s="34"/>
      <c r="D119" s="34"/>
      <c r="E119" s="34"/>
    </row>
    <row r="120" spans="1:9">
      <c r="A120" s="7" t="s">
        <v>15</v>
      </c>
      <c r="B120" s="11" t="s">
        <v>239</v>
      </c>
      <c r="H120" s="34">
        <f>0.0021*10^-6</f>
        <v>2.0999999999999998E-9</v>
      </c>
      <c r="I120" s="56" t="s">
        <v>482</v>
      </c>
    </row>
    <row r="121" spans="1:9">
      <c r="A121" s="22" t="s">
        <v>13</v>
      </c>
      <c r="B121" s="11" t="s">
        <v>62</v>
      </c>
      <c r="C121" s="26"/>
      <c r="D121" s="11"/>
      <c r="E121" s="11"/>
      <c r="F121" s="11"/>
      <c r="G121" s="1"/>
      <c r="H121" s="34"/>
      <c r="I121" s="11" t="s">
        <v>484</v>
      </c>
    </row>
    <row r="122" spans="1:9">
      <c r="A122" s="22" t="s">
        <v>236</v>
      </c>
      <c r="B122" s="11" t="s">
        <v>297</v>
      </c>
      <c r="C122" s="26"/>
      <c r="D122" s="11"/>
      <c r="E122" s="11"/>
      <c r="F122" s="11"/>
      <c r="G122" s="1"/>
    </row>
    <row r="124" spans="1:9" ht="25">
      <c r="A124" s="61" t="s">
        <v>151</v>
      </c>
      <c r="B124" s="4" t="s">
        <v>1</v>
      </c>
      <c r="C124" s="4" t="s">
        <v>2</v>
      </c>
      <c r="D124" s="8" t="s">
        <v>73</v>
      </c>
      <c r="E124" s="6" t="s">
        <v>196</v>
      </c>
      <c r="F124" s="6" t="s">
        <v>15</v>
      </c>
      <c r="G124" s="42" t="s">
        <v>235</v>
      </c>
    </row>
    <row r="125" spans="1:9">
      <c r="A125" s="82" t="s">
        <v>206</v>
      </c>
      <c r="B125" s="31" t="s">
        <v>132</v>
      </c>
      <c r="C125" s="27">
        <v>2</v>
      </c>
      <c r="D125" s="28">
        <v>0.1</v>
      </c>
      <c r="E125" s="29">
        <f>C125*F125</f>
        <v>4.1999999999999996E-9</v>
      </c>
      <c r="F125" s="30">
        <f>0.0021*10^-6</f>
        <v>2.0999999999999998E-9</v>
      </c>
      <c r="G125" s="28">
        <v>30</v>
      </c>
    </row>
    <row r="126" spans="1:9" ht="15" thickBot="1"/>
    <row r="127" spans="1:9" ht="15" thickBot="1">
      <c r="D127" s="35" t="s">
        <v>75</v>
      </c>
      <c r="E127" s="36">
        <f>SUM(E125:E125)</f>
        <v>4.1999999999999996E-9</v>
      </c>
    </row>
    <row r="129" spans="3:5" ht="15" thickBot="1"/>
    <row r="130" spans="3:5" ht="15" thickBot="1">
      <c r="C130" s="55"/>
      <c r="D130" s="71" t="s">
        <v>205</v>
      </c>
      <c r="E130" s="87">
        <f>SUM(E114,E127,E32,E46,G61,E76)</f>
        <v>3.5905118800000008E-8</v>
      </c>
    </row>
    <row r="153" spans="22:31">
      <c r="AD153" s="12"/>
      <c r="AE153" s="12"/>
    </row>
    <row r="154" spans="22:31">
      <c r="V154" s="1"/>
      <c r="AD154" s="12"/>
      <c r="AE154" s="12"/>
    </row>
    <row r="155" spans="22:31">
      <c r="V155" s="1"/>
    </row>
    <row r="156" spans="22:31">
      <c r="AD156" s="12"/>
      <c r="AE156" s="12"/>
    </row>
    <row r="162" ht="25.5" customHeight="1"/>
    <row r="164" ht="15" customHeight="1"/>
    <row r="182" ht="25.5" customHeight="1"/>
  </sheetData>
  <mergeCells count="2">
    <mergeCell ref="A9:N9"/>
    <mergeCell ref="A2:Q2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15"/>
  <sheetViews>
    <sheetView topLeftCell="A11" zoomScale="110" zoomScaleNormal="130" workbookViewId="0">
      <selection activeCell="B43" sqref="B43"/>
    </sheetView>
  </sheetViews>
  <sheetFormatPr defaultRowHeight="14.5"/>
  <cols>
    <col min="2" max="2" width="48" customWidth="1"/>
    <col min="3" max="3" width="11.54296875" customWidth="1"/>
    <col min="4" max="4" width="8.81640625" bestFit="1" customWidth="1"/>
    <col min="5" max="5" width="11.453125" customWidth="1"/>
    <col min="6" max="6" width="11.36328125" bestFit="1" customWidth="1"/>
    <col min="7" max="7" width="10.81640625" customWidth="1"/>
    <col min="8" max="8" width="11.08984375" bestFit="1" customWidth="1"/>
    <col min="9" max="9" width="11.81640625" bestFit="1" customWidth="1"/>
    <col min="10" max="10" width="12.08984375" bestFit="1" customWidth="1"/>
    <col min="11" max="13" width="8.81640625" bestFit="1" customWidth="1"/>
  </cols>
  <sheetData>
    <row r="2" spans="1:17">
      <c r="A2" s="147" t="s">
        <v>339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1:17">
      <c r="A4" s="11" t="s">
        <v>150</v>
      </c>
      <c r="B4" s="11"/>
    </row>
    <row r="5" spans="1:17">
      <c r="A5" s="11" t="s">
        <v>26</v>
      </c>
      <c r="B5" s="11"/>
    </row>
    <row r="6" spans="1:17">
      <c r="A6" s="11" t="s">
        <v>291</v>
      </c>
      <c r="B6" s="11"/>
    </row>
    <row r="7" spans="1:17">
      <c r="A7" s="11"/>
      <c r="B7" s="11"/>
      <c r="C7" s="15"/>
    </row>
    <row r="8" spans="1:17">
      <c r="A8" s="49"/>
      <c r="B8" s="26"/>
      <c r="C8" s="26"/>
      <c r="D8" s="50"/>
      <c r="E8" s="50"/>
      <c r="F8" s="50"/>
      <c r="G8" s="15"/>
      <c r="H8" s="50"/>
      <c r="I8" s="50"/>
      <c r="J8" s="50"/>
      <c r="K8" s="50"/>
      <c r="L8" s="50"/>
      <c r="M8" s="15"/>
      <c r="N8" s="50"/>
      <c r="O8" s="50"/>
    </row>
    <row r="9" spans="1:17">
      <c r="A9" s="146" t="s">
        <v>36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</row>
    <row r="11" spans="1:17">
      <c r="A11" s="25" t="s">
        <v>44</v>
      </c>
      <c r="B11" s="25"/>
      <c r="C11" s="25"/>
      <c r="D11" s="25"/>
      <c r="E11" s="25"/>
      <c r="F11" s="11"/>
      <c r="G11" s="25"/>
      <c r="H11" s="1"/>
      <c r="I11" s="1"/>
      <c r="N11" s="1"/>
    </row>
    <row r="12" spans="1:17">
      <c r="A12" s="11" t="s">
        <v>197</v>
      </c>
      <c r="B12" s="11"/>
      <c r="C12" s="11"/>
      <c r="D12" s="11"/>
      <c r="E12" s="11"/>
      <c r="F12" s="11"/>
      <c r="G12" s="11"/>
      <c r="H12" s="11"/>
      <c r="I12" s="11"/>
      <c r="J12" s="11"/>
      <c r="K12" s="12"/>
      <c r="L12" s="12"/>
      <c r="M12" s="12"/>
      <c r="N12" s="11"/>
    </row>
    <row r="14" spans="1:17">
      <c r="A14" s="7" t="s">
        <v>16</v>
      </c>
      <c r="B14" s="11" t="s">
        <v>37</v>
      </c>
      <c r="C14" s="15"/>
      <c r="E14" s="11"/>
      <c r="F14" s="11"/>
      <c r="H14" s="1"/>
      <c r="I14" s="34">
        <f>0.0207*10^-6</f>
        <v>2.07E-8</v>
      </c>
      <c r="J14" s="56" t="s">
        <v>111</v>
      </c>
      <c r="K14" s="11"/>
      <c r="L14" s="12"/>
      <c r="M14" s="12"/>
      <c r="N14" s="12"/>
    </row>
    <row r="15" spans="1:17">
      <c r="A15" s="22" t="s">
        <v>4</v>
      </c>
      <c r="B15" s="11" t="s">
        <v>38</v>
      </c>
      <c r="C15" s="26"/>
      <c r="D15" s="11"/>
      <c r="E15" s="11"/>
      <c r="F15" s="11"/>
      <c r="G15" s="1"/>
      <c r="H15" s="1"/>
      <c r="I15" s="1"/>
      <c r="J15" s="1"/>
      <c r="K15" s="1"/>
      <c r="L15" s="2"/>
      <c r="M15" s="1"/>
      <c r="N15" s="9"/>
    </row>
    <row r="16" spans="1:17">
      <c r="A16" s="22" t="s">
        <v>6</v>
      </c>
      <c r="B16" s="11" t="s">
        <v>32</v>
      </c>
      <c r="C16" s="12"/>
      <c r="D16" s="12"/>
      <c r="E16" s="12"/>
      <c r="F16" s="12"/>
      <c r="I16" s="1"/>
      <c r="J16" s="1"/>
      <c r="K16" s="1"/>
      <c r="L16" s="2"/>
      <c r="M16" s="1"/>
      <c r="N16" s="1"/>
    </row>
    <row r="17" spans="1:14">
      <c r="A17" s="22" t="s">
        <v>7</v>
      </c>
      <c r="B17" s="11" t="s">
        <v>42</v>
      </c>
      <c r="C17" s="12"/>
      <c r="D17" s="11"/>
      <c r="E17" s="11"/>
      <c r="F17" s="11"/>
      <c r="G17" s="1"/>
      <c r="H17" s="1"/>
      <c r="I17" s="1"/>
      <c r="J17" s="1"/>
      <c r="K17" s="1"/>
      <c r="L17" s="2"/>
      <c r="M17" s="1"/>
      <c r="N17" s="1"/>
    </row>
    <row r="18" spans="1:14">
      <c r="A18" s="23" t="s">
        <v>40</v>
      </c>
      <c r="B18" s="11" t="s">
        <v>41</v>
      </c>
      <c r="C18" s="11"/>
      <c r="D18" s="1"/>
      <c r="E18" s="1"/>
      <c r="F18" s="1"/>
      <c r="G18" s="1"/>
      <c r="H18" s="1"/>
      <c r="I18" s="1"/>
      <c r="J18" s="1"/>
      <c r="K18" s="3"/>
      <c r="L18" s="2"/>
      <c r="M18" s="1"/>
      <c r="N18" s="1"/>
    </row>
    <row r="19" spans="1:14">
      <c r="A19" s="22" t="s">
        <v>31</v>
      </c>
      <c r="B19" s="11" t="s">
        <v>33</v>
      </c>
      <c r="C19" s="12"/>
      <c r="D19" s="12"/>
      <c r="E19" s="12"/>
      <c r="F19" s="12"/>
      <c r="G19" s="12"/>
      <c r="H19" s="12"/>
      <c r="I19" s="12"/>
      <c r="J19" s="12"/>
      <c r="K19" s="12"/>
    </row>
    <row r="20" spans="1:14">
      <c r="A20" s="22" t="s">
        <v>24</v>
      </c>
      <c r="B20" s="11" t="s">
        <v>35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4">
      <c r="A21" s="22" t="s">
        <v>236</v>
      </c>
      <c r="B21" s="11" t="s">
        <v>297</v>
      </c>
      <c r="C21" s="12"/>
      <c r="D21" s="12"/>
      <c r="E21" s="12"/>
      <c r="F21" s="12"/>
      <c r="G21" s="12"/>
      <c r="H21" s="12"/>
      <c r="I21" s="12"/>
      <c r="J21" s="12"/>
      <c r="K21" s="12"/>
    </row>
    <row r="22" spans="1:14">
      <c r="D22" s="12"/>
      <c r="F22" s="1"/>
      <c r="G22" s="1"/>
      <c r="H22" s="1"/>
      <c r="I22" s="1"/>
      <c r="J22" s="1"/>
      <c r="K22" s="3"/>
    </row>
    <row r="23" spans="1:14">
      <c r="A23" s="61" t="s">
        <v>151</v>
      </c>
      <c r="B23" s="4" t="s">
        <v>1</v>
      </c>
      <c r="C23" s="4" t="s">
        <v>2</v>
      </c>
      <c r="D23" s="44" t="s">
        <v>74</v>
      </c>
      <c r="E23" s="6" t="s">
        <v>196</v>
      </c>
      <c r="F23" s="6" t="s">
        <v>15</v>
      </c>
      <c r="G23" s="6" t="s">
        <v>16</v>
      </c>
      <c r="H23" s="4" t="s">
        <v>4</v>
      </c>
      <c r="I23" s="4" t="s">
        <v>43</v>
      </c>
      <c r="J23" s="4" t="s">
        <v>6</v>
      </c>
      <c r="K23" s="4" t="s">
        <v>24</v>
      </c>
      <c r="L23" s="4" t="s">
        <v>23</v>
      </c>
      <c r="M23" s="4" t="s">
        <v>235</v>
      </c>
    </row>
    <row r="24" spans="1:14">
      <c r="A24" s="120" t="s">
        <v>154</v>
      </c>
      <c r="B24" s="45" t="s">
        <v>237</v>
      </c>
      <c r="C24" s="27">
        <v>1</v>
      </c>
      <c r="D24" s="28">
        <v>0.1</v>
      </c>
      <c r="E24" s="83">
        <f t="shared" ref="E24" si="0">C24*F24</f>
        <v>6.6124080000000003E-10</v>
      </c>
      <c r="F24" s="84">
        <f t="shared" ref="F24" si="1">G24*H24*I24*J24*K24*L24</f>
        <v>6.6124080000000003E-10</v>
      </c>
      <c r="G24" s="30">
        <f t="shared" ref="G24:G29" si="2">0.0207*10^-6</f>
        <v>2.07E-8</v>
      </c>
      <c r="H24" s="24">
        <v>3.3000000000000002E-2</v>
      </c>
      <c r="I24" s="24">
        <f>1.21</f>
        <v>1.21</v>
      </c>
      <c r="J24" s="24">
        <v>4</v>
      </c>
      <c r="K24" s="28">
        <v>0.2</v>
      </c>
      <c r="L24" s="24">
        <v>1</v>
      </c>
      <c r="M24" s="28">
        <v>30</v>
      </c>
    </row>
    <row r="25" spans="1:14">
      <c r="A25" s="120" t="s">
        <v>155</v>
      </c>
      <c r="B25" s="45" t="s">
        <v>237</v>
      </c>
      <c r="C25" s="27">
        <v>1</v>
      </c>
      <c r="D25" s="28">
        <v>0.1</v>
      </c>
      <c r="E25" s="83">
        <f t="shared" ref="E25:E27" si="3">C25*F25</f>
        <v>6.6124080000000003E-10</v>
      </c>
      <c r="F25" s="84">
        <f t="shared" ref="F25:F27" si="4">G25*H25*I25*J25*K25*L25</f>
        <v>6.6124080000000003E-10</v>
      </c>
      <c r="G25" s="30">
        <f t="shared" si="2"/>
        <v>2.07E-8</v>
      </c>
      <c r="H25" s="24">
        <v>3.3000000000000002E-2</v>
      </c>
      <c r="I25" s="24">
        <f>1.21</f>
        <v>1.21</v>
      </c>
      <c r="J25" s="24">
        <v>4</v>
      </c>
      <c r="K25" s="28">
        <v>0.2</v>
      </c>
      <c r="L25" s="24">
        <v>1</v>
      </c>
      <c r="M25" s="28">
        <v>30</v>
      </c>
    </row>
    <row r="26" spans="1:14">
      <c r="A26" s="120" t="s">
        <v>156</v>
      </c>
      <c r="B26" s="45" t="s">
        <v>238</v>
      </c>
      <c r="C26" s="27">
        <v>1</v>
      </c>
      <c r="D26" s="28">
        <v>0.11</v>
      </c>
      <c r="E26" s="83">
        <f t="shared" si="3"/>
        <v>8.9523360000000013E-10</v>
      </c>
      <c r="F26" s="84">
        <f t="shared" si="4"/>
        <v>8.9523360000000013E-10</v>
      </c>
      <c r="G26" s="30">
        <f t="shared" si="2"/>
        <v>2.07E-8</v>
      </c>
      <c r="H26" s="24">
        <v>3.4000000000000002E-2</v>
      </c>
      <c r="I26" s="24">
        <f>1.59</f>
        <v>1.59</v>
      </c>
      <c r="J26" s="24">
        <v>4</v>
      </c>
      <c r="K26" s="28">
        <v>0.2</v>
      </c>
      <c r="L26" s="24">
        <v>1</v>
      </c>
      <c r="M26" s="28">
        <v>30</v>
      </c>
    </row>
    <row r="27" spans="1:14">
      <c r="A27" s="120" t="s">
        <v>157</v>
      </c>
      <c r="B27" s="45" t="s">
        <v>237</v>
      </c>
      <c r="C27" s="27">
        <v>1</v>
      </c>
      <c r="D27" s="28">
        <v>0.1</v>
      </c>
      <c r="E27" s="83">
        <f t="shared" si="3"/>
        <v>6.6124080000000003E-10</v>
      </c>
      <c r="F27" s="84">
        <f t="shared" si="4"/>
        <v>6.6124080000000003E-10</v>
      </c>
      <c r="G27" s="30">
        <f t="shared" si="2"/>
        <v>2.07E-8</v>
      </c>
      <c r="H27" s="24">
        <v>3.3000000000000002E-2</v>
      </c>
      <c r="I27" s="24">
        <f>1.21</f>
        <v>1.21</v>
      </c>
      <c r="J27" s="24">
        <v>4</v>
      </c>
      <c r="K27" s="28">
        <v>0.2</v>
      </c>
      <c r="L27" s="24">
        <v>1</v>
      </c>
      <c r="M27" s="28">
        <v>30</v>
      </c>
    </row>
    <row r="28" spans="1:14">
      <c r="A28" s="120" t="s">
        <v>158</v>
      </c>
      <c r="B28" s="45" t="s">
        <v>238</v>
      </c>
      <c r="C28" s="27">
        <v>1</v>
      </c>
      <c r="D28" s="28">
        <v>0.1</v>
      </c>
      <c r="E28" s="83">
        <f t="shared" ref="E28:E29" si="5">C28*F28</f>
        <v>8.6890320000000016E-10</v>
      </c>
      <c r="F28" s="84">
        <f t="shared" ref="F28:F29" si="6">G28*H28*I28*J28*K28*L28</f>
        <v>8.6890320000000016E-10</v>
      </c>
      <c r="G28" s="30">
        <f t="shared" si="2"/>
        <v>2.07E-8</v>
      </c>
      <c r="H28" s="24">
        <v>3.3000000000000002E-2</v>
      </c>
      <c r="I28" s="24">
        <f>1.59</f>
        <v>1.59</v>
      </c>
      <c r="J28" s="24">
        <v>4</v>
      </c>
      <c r="K28" s="28">
        <v>0.2</v>
      </c>
      <c r="L28" s="24">
        <v>1</v>
      </c>
      <c r="M28" s="28">
        <v>30</v>
      </c>
    </row>
    <row r="29" spans="1:14">
      <c r="A29" s="120" t="s">
        <v>159</v>
      </c>
      <c r="B29" s="45" t="s">
        <v>238</v>
      </c>
      <c r="C29" s="27">
        <v>1</v>
      </c>
      <c r="D29" s="28">
        <v>0.1</v>
      </c>
      <c r="E29" s="83">
        <f t="shared" si="5"/>
        <v>8.6890320000000016E-10</v>
      </c>
      <c r="F29" s="84">
        <f t="shared" si="6"/>
        <v>8.6890320000000016E-10</v>
      </c>
      <c r="G29" s="30">
        <f t="shared" si="2"/>
        <v>2.07E-8</v>
      </c>
      <c r="H29" s="24">
        <v>3.3000000000000002E-2</v>
      </c>
      <c r="I29" s="24">
        <f>1.59</f>
        <v>1.59</v>
      </c>
      <c r="J29" s="24">
        <v>4</v>
      </c>
      <c r="K29" s="28">
        <v>0.2</v>
      </c>
      <c r="L29" s="24">
        <v>1</v>
      </c>
      <c r="M29" s="28">
        <v>30</v>
      </c>
    </row>
    <row r="30" spans="1:14">
      <c r="A30" s="120" t="s">
        <v>161</v>
      </c>
      <c r="B30" s="45" t="s">
        <v>195</v>
      </c>
      <c r="C30" s="27">
        <v>1</v>
      </c>
      <c r="D30" s="28">
        <v>0.1</v>
      </c>
      <c r="E30" s="83">
        <f t="shared" ref="E30" si="7">C30*F30</f>
        <v>3.8253600000000002E-10</v>
      </c>
      <c r="F30" s="30">
        <f t="shared" ref="F30" si="8">G30*H30*I30*J30*K30*L30</f>
        <v>3.8253600000000002E-10</v>
      </c>
      <c r="G30" s="30">
        <f t="shared" ref="G30" si="9">0.0207*10^-6</f>
        <v>2.07E-8</v>
      </c>
      <c r="H30" s="24">
        <v>3.3000000000000002E-2</v>
      </c>
      <c r="I30" s="24">
        <v>0.7</v>
      </c>
      <c r="J30" s="24">
        <v>4</v>
      </c>
      <c r="K30" s="28">
        <v>0.2</v>
      </c>
      <c r="L30" s="24">
        <v>1</v>
      </c>
      <c r="M30" s="28">
        <v>30</v>
      </c>
    </row>
    <row r="31" spans="1:14" ht="15" thickBot="1">
      <c r="B31" s="68"/>
      <c r="D31" s="15"/>
      <c r="F31" s="26"/>
      <c r="G31" s="26"/>
      <c r="H31" s="50"/>
      <c r="I31" s="50"/>
      <c r="J31" s="50"/>
      <c r="K31" s="15"/>
      <c r="L31" s="50"/>
    </row>
    <row r="32" spans="1:14" ht="15" thickBot="1">
      <c r="D32" s="35" t="s">
        <v>75</v>
      </c>
      <c r="E32" s="87">
        <f>SUM(E24:E30)</f>
        <v>4.9992984000000006E-9</v>
      </c>
    </row>
    <row r="33" spans="1:13">
      <c r="D33" s="35"/>
    </row>
    <row r="34" spans="1:13">
      <c r="A34" s="25" t="s">
        <v>46</v>
      </c>
    </row>
    <row r="35" spans="1:13">
      <c r="A35" s="11" t="s">
        <v>197</v>
      </c>
    </row>
    <row r="36" spans="1:13">
      <c r="A36" s="11"/>
    </row>
    <row r="37" spans="1:13">
      <c r="A37" s="7" t="s">
        <v>16</v>
      </c>
      <c r="B37" s="11" t="s">
        <v>37</v>
      </c>
      <c r="C37" s="15"/>
      <c r="F37" s="11"/>
      <c r="I37" s="34">
        <f>0.064*10^-6</f>
        <v>6.4000000000000004E-8</v>
      </c>
      <c r="J37" s="56" t="s">
        <v>111</v>
      </c>
    </row>
    <row r="38" spans="1:13">
      <c r="A38" s="22" t="s">
        <v>5</v>
      </c>
      <c r="B38" s="11" t="s">
        <v>39</v>
      </c>
      <c r="C38" s="15"/>
      <c r="D38" s="11"/>
      <c r="E38" s="11"/>
      <c r="F38" s="11"/>
      <c r="G38" s="1"/>
      <c r="H38" s="1"/>
    </row>
    <row r="39" spans="1:13">
      <c r="A39" s="22" t="s">
        <v>236</v>
      </c>
      <c r="B39" s="11" t="s">
        <v>297</v>
      </c>
      <c r="C39" s="15"/>
      <c r="D39" s="11"/>
      <c r="E39" s="11"/>
      <c r="F39" s="11"/>
      <c r="G39" s="1"/>
      <c r="H39" s="1"/>
    </row>
    <row r="41" spans="1:13">
      <c r="A41" s="61" t="s">
        <v>151</v>
      </c>
      <c r="B41" s="4" t="s">
        <v>1</v>
      </c>
      <c r="C41" s="4" t="s">
        <v>2</v>
      </c>
      <c r="D41" s="44" t="s">
        <v>74</v>
      </c>
      <c r="E41" s="6" t="s">
        <v>196</v>
      </c>
      <c r="F41" s="6" t="s">
        <v>15</v>
      </c>
      <c r="G41" s="6" t="s">
        <v>16</v>
      </c>
      <c r="H41" s="4" t="s">
        <v>4</v>
      </c>
      <c r="I41" s="4" t="s">
        <v>5</v>
      </c>
      <c r="J41" s="4" t="s">
        <v>6</v>
      </c>
      <c r="K41" s="4" t="s">
        <v>24</v>
      </c>
      <c r="L41" s="4" t="s">
        <v>23</v>
      </c>
      <c r="M41" s="4" t="s">
        <v>235</v>
      </c>
    </row>
    <row r="42" spans="1:13">
      <c r="A42" s="62" t="s">
        <v>160</v>
      </c>
      <c r="B42" s="116" t="s">
        <v>493</v>
      </c>
      <c r="C42" s="27">
        <v>1</v>
      </c>
      <c r="D42" s="28">
        <v>0.21</v>
      </c>
      <c r="E42" s="83">
        <f>C42*F42</f>
        <v>2.7648000000000002E-9</v>
      </c>
      <c r="F42" s="30">
        <f>G42*H42*I42*J42*K42*L42</f>
        <v>2.7648000000000002E-9</v>
      </c>
      <c r="G42" s="28">
        <f>0.064*10^-6</f>
        <v>6.4000000000000004E-8</v>
      </c>
      <c r="H42" s="24">
        <f>0.18</f>
        <v>0.18</v>
      </c>
      <c r="I42" s="24">
        <f>1</f>
        <v>1</v>
      </c>
      <c r="J42" s="24">
        <v>4</v>
      </c>
      <c r="K42" s="28">
        <v>0.2</v>
      </c>
      <c r="L42" s="24">
        <v>0.3</v>
      </c>
      <c r="M42" s="28">
        <v>30</v>
      </c>
    </row>
    <row r="43" spans="1:13" ht="15" thickBot="1">
      <c r="E43" s="48"/>
    </row>
    <row r="44" spans="1:13" ht="15" thickBot="1">
      <c r="D44" s="35" t="s">
        <v>75</v>
      </c>
      <c r="E44" s="122">
        <f>SUM(E42:E42)</f>
        <v>2.7648000000000002E-9</v>
      </c>
    </row>
    <row r="45" spans="1:13">
      <c r="A45" s="38"/>
    </row>
    <row r="46" spans="1:13">
      <c r="A46" s="38"/>
    </row>
    <row r="47" spans="1:13">
      <c r="A47" s="34" t="s">
        <v>49</v>
      </c>
      <c r="B47" s="34"/>
      <c r="C47" s="34"/>
      <c r="D47" s="34"/>
      <c r="E47" s="34"/>
    </row>
    <row r="48" spans="1:13">
      <c r="A48" s="11" t="s">
        <v>247</v>
      </c>
      <c r="B48" s="34"/>
      <c r="C48" s="11"/>
      <c r="D48" s="11"/>
      <c r="E48" s="11"/>
      <c r="F48" s="11"/>
      <c r="G48" s="11"/>
      <c r="H48" s="11"/>
      <c r="I48" s="11"/>
      <c r="J48" s="11"/>
    </row>
    <row r="49" spans="1:15">
      <c r="A49" s="11"/>
      <c r="B49" s="34"/>
      <c r="C49" s="11"/>
      <c r="D49" s="11"/>
      <c r="E49" s="11"/>
      <c r="F49" s="11"/>
      <c r="G49" s="11"/>
      <c r="H49" s="11"/>
      <c r="I49" s="11"/>
      <c r="J49" s="11"/>
    </row>
    <row r="50" spans="1:15">
      <c r="B50" s="11"/>
      <c r="I50" s="11" t="s">
        <v>421</v>
      </c>
      <c r="J50" s="94">
        <v>1E-8</v>
      </c>
      <c r="K50" s="11" t="s">
        <v>443</v>
      </c>
      <c r="L50" s="12"/>
      <c r="M50" s="12"/>
      <c r="N50" s="12"/>
    </row>
    <row r="51" spans="1:15">
      <c r="A51" s="7" t="s">
        <v>15</v>
      </c>
      <c r="B51" s="11" t="s">
        <v>239</v>
      </c>
      <c r="C51" s="15"/>
      <c r="E51" s="11"/>
      <c r="F51" s="11"/>
      <c r="G51" s="11"/>
      <c r="H51" s="1"/>
      <c r="O51" s="12"/>
    </row>
    <row r="52" spans="1:15">
      <c r="A52" s="22" t="s">
        <v>236</v>
      </c>
      <c r="B52" s="11" t="s">
        <v>297</v>
      </c>
      <c r="C52" s="26"/>
      <c r="D52" s="11"/>
      <c r="E52" s="11"/>
      <c r="F52" s="11"/>
      <c r="G52" s="1"/>
      <c r="H52" s="1"/>
      <c r="J52" s="11"/>
    </row>
    <row r="54" spans="1:15" ht="25">
      <c r="A54" s="61" t="s">
        <v>151</v>
      </c>
      <c r="B54" s="4" t="s">
        <v>1</v>
      </c>
      <c r="C54" s="4" t="s">
        <v>2</v>
      </c>
      <c r="D54" s="118" t="s">
        <v>8</v>
      </c>
      <c r="E54" s="119" t="s">
        <v>79</v>
      </c>
      <c r="F54" s="5" t="s">
        <v>57</v>
      </c>
      <c r="G54" s="6" t="s">
        <v>196</v>
      </c>
      <c r="H54" s="6" t="s">
        <v>15</v>
      </c>
      <c r="I54" s="17" t="s">
        <v>235</v>
      </c>
    </row>
    <row r="55" spans="1:15">
      <c r="A55" s="120" t="s">
        <v>163</v>
      </c>
      <c r="B55" s="31" t="s">
        <v>420</v>
      </c>
      <c r="C55" s="27">
        <v>1</v>
      </c>
      <c r="D55" s="28">
        <v>5.2</v>
      </c>
      <c r="E55" s="28">
        <v>200</v>
      </c>
      <c r="F55" s="28" t="s">
        <v>59</v>
      </c>
      <c r="G55" s="29">
        <f>C55*H55</f>
        <v>1E-8</v>
      </c>
      <c r="H55" s="30">
        <f>0.01*10^-6</f>
        <v>1E-8</v>
      </c>
      <c r="I55" s="28">
        <v>30</v>
      </c>
    </row>
    <row r="57" spans="1:15" ht="15" thickBot="1"/>
    <row r="58" spans="1:15" ht="15" thickBot="1">
      <c r="F58" s="128" t="s">
        <v>75</v>
      </c>
      <c r="G58" s="121">
        <f>SUM(G55)</f>
        <v>1E-8</v>
      </c>
    </row>
    <row r="59" spans="1:15">
      <c r="A59" s="38"/>
    </row>
    <row r="61" spans="1:15">
      <c r="A61" s="38"/>
    </row>
    <row r="62" spans="1:15">
      <c r="A62" s="25" t="s">
        <v>45</v>
      </c>
      <c r="B62" s="25"/>
      <c r="C62" s="25"/>
      <c r="D62" s="25"/>
      <c r="E62" s="25"/>
      <c r="F62" s="11"/>
      <c r="G62" s="25"/>
    </row>
    <row r="63" spans="1:15">
      <c r="A63" s="11" t="s">
        <v>199</v>
      </c>
      <c r="B63" s="11"/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</row>
    <row r="64" spans="1:15">
      <c r="A64" s="12"/>
      <c r="B64" s="11"/>
      <c r="C64" s="12"/>
      <c r="D64" s="12"/>
      <c r="E64" s="12"/>
      <c r="F64" s="12"/>
      <c r="G64" s="12"/>
      <c r="H64" s="12"/>
      <c r="I64" s="12"/>
      <c r="J64" s="12"/>
      <c r="K64" s="14"/>
      <c r="L64" s="15"/>
      <c r="M64" s="11"/>
    </row>
    <row r="65" spans="1:15">
      <c r="A65" s="7" t="s">
        <v>17</v>
      </c>
      <c r="B65" s="11" t="s">
        <v>3</v>
      </c>
      <c r="C65" s="12"/>
      <c r="G65" s="58" t="s">
        <v>122</v>
      </c>
      <c r="H65" s="34">
        <f>0.049*10^-6</f>
        <v>4.9000000000000002E-8</v>
      </c>
      <c r="I65" s="11" t="s">
        <v>123</v>
      </c>
      <c r="J65" s="11"/>
      <c r="K65" s="13"/>
      <c r="L65" s="11"/>
      <c r="M65" s="11"/>
      <c r="N65" s="11"/>
    </row>
    <row r="66" spans="1:15">
      <c r="A66" s="22" t="s">
        <v>4</v>
      </c>
      <c r="B66" s="11" t="s">
        <v>38</v>
      </c>
      <c r="C66" s="12"/>
      <c r="D66" s="12"/>
      <c r="E66" s="12"/>
      <c r="F66" s="12"/>
      <c r="G66" s="58"/>
      <c r="H66" s="34"/>
      <c r="I66" s="11"/>
      <c r="J66" s="11"/>
      <c r="K66" s="13"/>
      <c r="L66" s="11"/>
      <c r="M66" s="11"/>
      <c r="N66" s="11"/>
    </row>
    <row r="67" spans="1:15">
      <c r="A67" s="23" t="s">
        <v>234</v>
      </c>
      <c r="B67" s="11" t="s">
        <v>28</v>
      </c>
      <c r="C67" s="11"/>
      <c r="D67" s="12"/>
      <c r="E67" s="12"/>
      <c r="F67" s="12"/>
      <c r="G67" s="12"/>
      <c r="H67" s="12"/>
      <c r="I67" s="12"/>
      <c r="J67" s="12"/>
      <c r="K67" s="14"/>
      <c r="L67" s="15"/>
      <c r="M67" s="11"/>
    </row>
    <row r="68" spans="1:15">
      <c r="A68" s="23" t="s">
        <v>20</v>
      </c>
      <c r="B68" s="11" t="s">
        <v>29</v>
      </c>
      <c r="C68" s="11"/>
      <c r="D68" s="12"/>
      <c r="E68" s="12"/>
      <c r="F68" s="12"/>
      <c r="G68" s="12"/>
      <c r="H68" s="12"/>
      <c r="I68" s="12"/>
      <c r="J68" s="12"/>
      <c r="K68" s="14"/>
      <c r="L68" s="15"/>
      <c r="M68" s="11"/>
    </row>
    <row r="69" spans="1:15">
      <c r="A69" s="23" t="s">
        <v>21</v>
      </c>
      <c r="B69" s="11" t="s">
        <v>30</v>
      </c>
      <c r="C69" s="12"/>
      <c r="D69" s="12"/>
      <c r="E69" s="12"/>
      <c r="F69" s="12"/>
      <c r="G69" s="12"/>
      <c r="H69" s="12"/>
      <c r="I69" s="12"/>
      <c r="J69" s="12"/>
      <c r="K69" s="14"/>
      <c r="L69" s="15"/>
      <c r="M69" s="11"/>
    </row>
    <row r="70" spans="1:15">
      <c r="A70" s="22" t="s">
        <v>6</v>
      </c>
      <c r="B70" s="11" t="s">
        <v>32</v>
      </c>
      <c r="C70" s="12"/>
      <c r="D70" s="12"/>
      <c r="E70" s="12"/>
      <c r="F70" s="12"/>
      <c r="G70" s="11"/>
      <c r="H70" s="12"/>
      <c r="I70" s="12"/>
      <c r="J70" s="12"/>
      <c r="K70" s="14"/>
      <c r="L70" s="16"/>
      <c r="M70" s="12"/>
    </row>
    <row r="71" spans="1:15">
      <c r="A71" s="22" t="s">
        <v>31</v>
      </c>
      <c r="B71" s="11" t="s">
        <v>33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5">
      <c r="A72" s="22" t="s">
        <v>7</v>
      </c>
      <c r="B72" s="11" t="s">
        <v>34</v>
      </c>
      <c r="C72" s="12"/>
      <c r="D72" s="12"/>
      <c r="G72" s="12"/>
      <c r="H72" s="12"/>
      <c r="I72" s="12"/>
      <c r="J72" s="12"/>
      <c r="K72" s="12"/>
    </row>
    <row r="73" spans="1:15">
      <c r="A73" s="22" t="s">
        <v>24</v>
      </c>
      <c r="B73" s="11" t="s">
        <v>35</v>
      </c>
      <c r="C73" s="12"/>
      <c r="D73" s="12"/>
      <c r="G73" s="12"/>
      <c r="H73" s="12"/>
      <c r="I73" s="12"/>
      <c r="J73" s="12"/>
      <c r="K73" s="12"/>
    </row>
    <row r="74" spans="1:15">
      <c r="A74" s="22" t="s">
        <v>236</v>
      </c>
      <c r="B74" s="11" t="s">
        <v>297</v>
      </c>
      <c r="C74" s="12"/>
      <c r="D74" s="12"/>
      <c r="G74" s="12"/>
      <c r="H74" s="12"/>
      <c r="I74" s="12"/>
      <c r="J74" s="12"/>
      <c r="K74" s="12"/>
    </row>
    <row r="76" spans="1:15">
      <c r="A76" s="61" t="s">
        <v>151</v>
      </c>
      <c r="B76" s="65" t="s">
        <v>1</v>
      </c>
      <c r="C76" s="4" t="s">
        <v>2</v>
      </c>
      <c r="D76" s="8" t="s">
        <v>73</v>
      </c>
      <c r="E76" s="6" t="s">
        <v>196</v>
      </c>
      <c r="F76" s="6" t="s">
        <v>15</v>
      </c>
      <c r="G76" s="6" t="s">
        <v>17</v>
      </c>
      <c r="H76" s="4" t="s">
        <v>4</v>
      </c>
      <c r="I76" s="4" t="s">
        <v>234</v>
      </c>
      <c r="J76" s="4" t="s">
        <v>20</v>
      </c>
      <c r="K76" s="4" t="s">
        <v>21</v>
      </c>
      <c r="L76" s="4" t="s">
        <v>22</v>
      </c>
      <c r="M76" s="4" t="s">
        <v>23</v>
      </c>
      <c r="N76" s="123" t="s">
        <v>24</v>
      </c>
      <c r="O76" s="4" t="s">
        <v>235</v>
      </c>
    </row>
    <row r="77" spans="1:15">
      <c r="A77" s="124" t="s">
        <v>240</v>
      </c>
      <c r="B77" s="110" t="s">
        <v>207</v>
      </c>
      <c r="C77" s="67">
        <v>1</v>
      </c>
      <c r="D77" s="40">
        <v>0.1</v>
      </c>
      <c r="E77" s="85">
        <f t="shared" ref="E77" si="10">C77*F77</f>
        <v>1.037232E-10</v>
      </c>
      <c r="F77" s="20">
        <f t="shared" ref="F77" si="11">G77*H77*I77*J77*K77*L77*M77*N77</f>
        <v>1.037232E-10</v>
      </c>
      <c r="G77" s="28">
        <f t="shared" ref="G77:G89" si="12">0.049*10^-6</f>
        <v>4.9000000000000002E-8</v>
      </c>
      <c r="H77" s="24">
        <v>0.36</v>
      </c>
      <c r="I77" s="24">
        <v>0.7</v>
      </c>
      <c r="J77" s="24">
        <f t="shared" ref="J77:J89" si="13">0.7</f>
        <v>0.7</v>
      </c>
      <c r="K77" s="24">
        <v>0.05</v>
      </c>
      <c r="L77" s="24">
        <v>4</v>
      </c>
      <c r="M77" s="24">
        <f t="shared" ref="M77:M89" si="14">0.3</f>
        <v>0.3</v>
      </c>
      <c r="N77" s="24">
        <v>0.2</v>
      </c>
      <c r="O77" s="28">
        <v>30</v>
      </c>
    </row>
    <row r="78" spans="1:15">
      <c r="A78" s="124" t="s">
        <v>183</v>
      </c>
      <c r="B78" s="110" t="s">
        <v>208</v>
      </c>
      <c r="C78" s="67">
        <v>1</v>
      </c>
      <c r="D78" s="40">
        <v>0.1</v>
      </c>
      <c r="E78" s="85">
        <f t="shared" ref="E78:E85" si="15">C78*F78</f>
        <v>1.037232E-10</v>
      </c>
      <c r="F78" s="20">
        <f t="shared" ref="F78:F85" si="16">G78*H78*I78*J78*K78*L78*M78*N78</f>
        <v>1.037232E-10</v>
      </c>
      <c r="G78" s="28">
        <f t="shared" si="12"/>
        <v>4.9000000000000002E-8</v>
      </c>
      <c r="H78" s="24">
        <v>0.36</v>
      </c>
      <c r="I78" s="24">
        <v>0.7</v>
      </c>
      <c r="J78" s="24">
        <f t="shared" si="13"/>
        <v>0.7</v>
      </c>
      <c r="K78" s="24">
        <v>0.05</v>
      </c>
      <c r="L78" s="24">
        <v>4</v>
      </c>
      <c r="M78" s="24">
        <f t="shared" si="14"/>
        <v>0.3</v>
      </c>
      <c r="N78" s="24">
        <v>0.2</v>
      </c>
      <c r="O78" s="28">
        <v>30</v>
      </c>
    </row>
    <row r="79" spans="1:15">
      <c r="A79" s="124" t="s">
        <v>185</v>
      </c>
      <c r="B79" s="110" t="s">
        <v>208</v>
      </c>
      <c r="C79" s="67">
        <v>1</v>
      </c>
      <c r="D79" s="40">
        <v>0.1</v>
      </c>
      <c r="E79" s="85">
        <f t="shared" si="15"/>
        <v>1.037232E-10</v>
      </c>
      <c r="F79" s="20">
        <f t="shared" si="16"/>
        <v>1.037232E-10</v>
      </c>
      <c r="G79" s="28">
        <f t="shared" si="12"/>
        <v>4.9000000000000002E-8</v>
      </c>
      <c r="H79" s="24">
        <v>0.36</v>
      </c>
      <c r="I79" s="24">
        <v>0.7</v>
      </c>
      <c r="J79" s="24">
        <f t="shared" si="13"/>
        <v>0.7</v>
      </c>
      <c r="K79" s="24">
        <v>0.05</v>
      </c>
      <c r="L79" s="24">
        <v>4</v>
      </c>
      <c r="M79" s="24">
        <f t="shared" si="14"/>
        <v>0.3</v>
      </c>
      <c r="N79" s="24">
        <v>0.2</v>
      </c>
      <c r="O79" s="28">
        <v>30</v>
      </c>
    </row>
    <row r="80" spans="1:15">
      <c r="A80" s="124" t="s">
        <v>164</v>
      </c>
      <c r="B80" s="110" t="s">
        <v>209</v>
      </c>
      <c r="C80" s="67">
        <v>1</v>
      </c>
      <c r="D80" s="40">
        <v>0.1</v>
      </c>
      <c r="E80" s="85">
        <f t="shared" si="15"/>
        <v>1.4817600000000002E-10</v>
      </c>
      <c r="F80" s="20">
        <f t="shared" si="16"/>
        <v>1.4817600000000002E-10</v>
      </c>
      <c r="G80" s="28">
        <f t="shared" si="12"/>
        <v>4.9000000000000002E-8</v>
      </c>
      <c r="H80" s="24">
        <v>0.36</v>
      </c>
      <c r="I80" s="24">
        <v>1</v>
      </c>
      <c r="J80" s="24">
        <f t="shared" si="13"/>
        <v>0.7</v>
      </c>
      <c r="K80" s="24">
        <v>0.05</v>
      </c>
      <c r="L80" s="24">
        <v>4</v>
      </c>
      <c r="M80" s="24">
        <f t="shared" si="14"/>
        <v>0.3</v>
      </c>
      <c r="N80" s="24">
        <v>0.2</v>
      </c>
      <c r="O80" s="28">
        <v>30</v>
      </c>
    </row>
    <row r="81" spans="1:15">
      <c r="A81" s="124" t="s">
        <v>165</v>
      </c>
      <c r="B81" s="110" t="s">
        <v>341</v>
      </c>
      <c r="C81" s="67">
        <v>1</v>
      </c>
      <c r="D81" s="40">
        <v>0.1</v>
      </c>
      <c r="E81" s="85">
        <f t="shared" ref="E81" si="17">C81*F81</f>
        <v>1.4817600000000002E-10</v>
      </c>
      <c r="F81" s="20">
        <f t="shared" ref="F81" si="18">G81*H81*I81*J81*K81*L81*M81*N81</f>
        <v>1.4817600000000002E-10</v>
      </c>
      <c r="G81" s="28">
        <f t="shared" si="12"/>
        <v>4.9000000000000002E-8</v>
      </c>
      <c r="H81" s="24">
        <v>0.36</v>
      </c>
      <c r="I81" s="24">
        <v>1</v>
      </c>
      <c r="J81" s="24">
        <f t="shared" si="13"/>
        <v>0.7</v>
      </c>
      <c r="K81" s="24">
        <v>0.05</v>
      </c>
      <c r="L81" s="24">
        <v>4</v>
      </c>
      <c r="M81" s="24">
        <f t="shared" si="14"/>
        <v>0.3</v>
      </c>
      <c r="N81" s="24">
        <v>0.2</v>
      </c>
      <c r="O81" s="28">
        <v>30</v>
      </c>
    </row>
    <row r="82" spans="1:15">
      <c r="A82" s="124" t="s">
        <v>166</v>
      </c>
      <c r="B82" s="110" t="s">
        <v>204</v>
      </c>
      <c r="C82" s="67">
        <v>1</v>
      </c>
      <c r="D82" s="40">
        <v>0.1</v>
      </c>
      <c r="E82" s="85">
        <f t="shared" si="15"/>
        <v>1.037232E-10</v>
      </c>
      <c r="F82" s="20">
        <f t="shared" si="16"/>
        <v>1.037232E-10</v>
      </c>
      <c r="G82" s="28">
        <f t="shared" si="12"/>
        <v>4.9000000000000002E-8</v>
      </c>
      <c r="H82" s="24">
        <v>0.36</v>
      </c>
      <c r="I82" s="24">
        <v>0.7</v>
      </c>
      <c r="J82" s="24">
        <f t="shared" si="13"/>
        <v>0.7</v>
      </c>
      <c r="K82" s="24">
        <v>0.05</v>
      </c>
      <c r="L82" s="24">
        <v>4</v>
      </c>
      <c r="M82" s="24">
        <f t="shared" si="14"/>
        <v>0.3</v>
      </c>
      <c r="N82" s="24">
        <v>0.2</v>
      </c>
      <c r="O82" s="28">
        <v>30</v>
      </c>
    </row>
    <row r="83" spans="1:15">
      <c r="A83" s="124" t="s">
        <v>186</v>
      </c>
      <c r="B83" s="110" t="s">
        <v>204</v>
      </c>
      <c r="C83" s="67">
        <v>1</v>
      </c>
      <c r="D83" s="40">
        <v>0.1</v>
      </c>
      <c r="E83" s="85">
        <f t="shared" si="15"/>
        <v>1.037232E-10</v>
      </c>
      <c r="F83" s="20">
        <f t="shared" si="16"/>
        <v>1.037232E-10</v>
      </c>
      <c r="G83" s="28">
        <f t="shared" si="12"/>
        <v>4.9000000000000002E-8</v>
      </c>
      <c r="H83" s="24">
        <v>0.36</v>
      </c>
      <c r="I83" s="24">
        <v>0.7</v>
      </c>
      <c r="J83" s="24">
        <f t="shared" si="13"/>
        <v>0.7</v>
      </c>
      <c r="K83" s="24">
        <v>0.05</v>
      </c>
      <c r="L83" s="24">
        <v>4</v>
      </c>
      <c r="M83" s="24">
        <f t="shared" si="14"/>
        <v>0.3</v>
      </c>
      <c r="N83" s="24">
        <v>0.2</v>
      </c>
      <c r="O83" s="28">
        <v>30</v>
      </c>
    </row>
    <row r="84" spans="1:15">
      <c r="A84" s="124" t="s">
        <v>187</v>
      </c>
      <c r="B84" s="110" t="s">
        <v>204</v>
      </c>
      <c r="C84" s="67">
        <v>1</v>
      </c>
      <c r="D84" s="40">
        <v>0.1</v>
      </c>
      <c r="E84" s="85">
        <f t="shared" si="15"/>
        <v>1.037232E-10</v>
      </c>
      <c r="F84" s="20">
        <f t="shared" si="16"/>
        <v>1.037232E-10</v>
      </c>
      <c r="G84" s="28">
        <f t="shared" si="12"/>
        <v>4.9000000000000002E-8</v>
      </c>
      <c r="H84" s="24">
        <v>0.36</v>
      </c>
      <c r="I84" s="24">
        <v>0.7</v>
      </c>
      <c r="J84" s="24">
        <f t="shared" si="13"/>
        <v>0.7</v>
      </c>
      <c r="K84" s="24">
        <v>0.05</v>
      </c>
      <c r="L84" s="24">
        <v>4</v>
      </c>
      <c r="M84" s="24">
        <f t="shared" si="14"/>
        <v>0.3</v>
      </c>
      <c r="N84" s="24">
        <v>0.2</v>
      </c>
      <c r="O84" s="28">
        <v>30</v>
      </c>
    </row>
    <row r="85" spans="1:15">
      <c r="A85" s="124" t="s">
        <v>173</v>
      </c>
      <c r="B85" s="110" t="s">
        <v>210</v>
      </c>
      <c r="C85" s="67">
        <v>1</v>
      </c>
      <c r="D85" s="40">
        <v>0.1</v>
      </c>
      <c r="E85" s="85">
        <f t="shared" si="15"/>
        <v>2.9635200000000003E-10</v>
      </c>
      <c r="F85" s="20">
        <f t="shared" si="16"/>
        <v>2.9635200000000003E-10</v>
      </c>
      <c r="G85" s="28">
        <f t="shared" si="12"/>
        <v>4.9000000000000002E-8</v>
      </c>
      <c r="H85" s="24">
        <v>0.36</v>
      </c>
      <c r="I85" s="24">
        <v>2</v>
      </c>
      <c r="J85" s="24">
        <f t="shared" si="13"/>
        <v>0.7</v>
      </c>
      <c r="K85" s="24">
        <v>0.05</v>
      </c>
      <c r="L85" s="24">
        <v>4</v>
      </c>
      <c r="M85" s="24">
        <f t="shared" si="14"/>
        <v>0.3</v>
      </c>
      <c r="N85" s="24">
        <v>0.2</v>
      </c>
      <c r="O85" s="28">
        <v>30</v>
      </c>
    </row>
    <row r="86" spans="1:15">
      <c r="A86" s="124" t="s">
        <v>174</v>
      </c>
      <c r="B86" s="110" t="s">
        <v>211</v>
      </c>
      <c r="C86" s="67">
        <v>1</v>
      </c>
      <c r="D86" s="40">
        <v>0.1</v>
      </c>
      <c r="E86" s="85">
        <f>C86*F86</f>
        <v>1.037232E-10</v>
      </c>
      <c r="F86" s="20">
        <f>G86*H86*I86*J86*K86*L86*M86*N86</f>
        <v>1.037232E-10</v>
      </c>
      <c r="G86" s="28">
        <f t="shared" si="12"/>
        <v>4.9000000000000002E-8</v>
      </c>
      <c r="H86" s="24">
        <v>0.36</v>
      </c>
      <c r="I86" s="24">
        <v>0.7</v>
      </c>
      <c r="J86" s="24">
        <f>0.7</f>
        <v>0.7</v>
      </c>
      <c r="K86" s="24">
        <v>0.05</v>
      </c>
      <c r="L86" s="24">
        <v>4</v>
      </c>
      <c r="M86" s="24">
        <f t="shared" si="14"/>
        <v>0.3</v>
      </c>
      <c r="N86" s="24">
        <v>0.2</v>
      </c>
      <c r="O86" s="28">
        <v>30</v>
      </c>
    </row>
    <row r="87" spans="1:15">
      <c r="A87" s="124" t="s">
        <v>175</v>
      </c>
      <c r="B87" s="110" t="s">
        <v>204</v>
      </c>
      <c r="C87" s="67">
        <v>1</v>
      </c>
      <c r="D87" s="40">
        <v>0.1</v>
      </c>
      <c r="E87" s="85">
        <f>C87*F87</f>
        <v>1.037232E-10</v>
      </c>
      <c r="F87" s="20">
        <f>G87*H87*I87*J87*K87*L87*M87*N87</f>
        <v>1.037232E-10</v>
      </c>
      <c r="G87" s="28">
        <f t="shared" si="12"/>
        <v>4.9000000000000002E-8</v>
      </c>
      <c r="H87" s="24">
        <v>0.36</v>
      </c>
      <c r="I87" s="24">
        <v>0.7</v>
      </c>
      <c r="J87" s="24">
        <f t="shared" si="13"/>
        <v>0.7</v>
      </c>
      <c r="K87" s="24">
        <v>0.05</v>
      </c>
      <c r="L87" s="24">
        <v>4</v>
      </c>
      <c r="M87" s="24">
        <f t="shared" si="14"/>
        <v>0.3</v>
      </c>
      <c r="N87" s="24">
        <v>0.2</v>
      </c>
      <c r="O87" s="28">
        <v>30</v>
      </c>
    </row>
    <row r="88" spans="1:15">
      <c r="A88" s="124" t="s">
        <v>176</v>
      </c>
      <c r="B88" s="110" t="s">
        <v>212</v>
      </c>
      <c r="C88" s="67">
        <v>1</v>
      </c>
      <c r="D88" s="40">
        <v>0.1</v>
      </c>
      <c r="E88" s="85">
        <f t="shared" ref="E88:E89" si="19">C88*F88</f>
        <v>1.4817600000000002E-10</v>
      </c>
      <c r="F88" s="20">
        <f t="shared" ref="F88:F89" si="20">G88*H88*I88*J88*K88*L88*M88*N88</f>
        <v>1.4817600000000002E-10</v>
      </c>
      <c r="G88" s="28">
        <f t="shared" si="12"/>
        <v>4.9000000000000002E-8</v>
      </c>
      <c r="H88" s="24">
        <v>0.36</v>
      </c>
      <c r="I88" s="24">
        <v>1</v>
      </c>
      <c r="J88" s="24">
        <f t="shared" si="13"/>
        <v>0.7</v>
      </c>
      <c r="K88" s="24">
        <v>0.05</v>
      </c>
      <c r="L88" s="24">
        <v>4</v>
      </c>
      <c r="M88" s="24">
        <f t="shared" si="14"/>
        <v>0.3</v>
      </c>
      <c r="N88" s="24">
        <v>0.2</v>
      </c>
      <c r="O88" s="28">
        <v>30</v>
      </c>
    </row>
    <row r="89" spans="1:15">
      <c r="A89" s="124" t="s">
        <v>177</v>
      </c>
      <c r="B89" s="110" t="s">
        <v>212</v>
      </c>
      <c r="C89" s="67">
        <v>1</v>
      </c>
      <c r="D89" s="40">
        <v>0.1</v>
      </c>
      <c r="E89" s="85">
        <f t="shared" si="19"/>
        <v>1.4817600000000002E-10</v>
      </c>
      <c r="F89" s="20">
        <f t="shared" si="20"/>
        <v>1.4817600000000002E-10</v>
      </c>
      <c r="G89" s="28">
        <f t="shared" si="12"/>
        <v>4.9000000000000002E-8</v>
      </c>
      <c r="H89" s="24">
        <v>0.36</v>
      </c>
      <c r="I89" s="24">
        <v>1</v>
      </c>
      <c r="J89" s="24">
        <f t="shared" si="13"/>
        <v>0.7</v>
      </c>
      <c r="K89" s="24">
        <v>0.05</v>
      </c>
      <c r="L89" s="24">
        <v>4</v>
      </c>
      <c r="M89" s="24">
        <f t="shared" si="14"/>
        <v>0.3</v>
      </c>
      <c r="N89" s="24">
        <v>0.2</v>
      </c>
      <c r="O89" s="28">
        <v>30</v>
      </c>
    </row>
    <row r="90" spans="1:15" ht="15" thickBot="1">
      <c r="E90" s="48"/>
    </row>
    <row r="91" spans="1:15" ht="15" thickBot="1">
      <c r="D91" s="128" t="s">
        <v>75</v>
      </c>
      <c r="E91" s="122">
        <f>SUM(E77:E89)</f>
        <v>1.7188415999999999E-9</v>
      </c>
    </row>
    <row r="92" spans="1:15">
      <c r="D92" s="35"/>
    </row>
    <row r="93" spans="1:15">
      <c r="D93" s="35"/>
    </row>
    <row r="95" spans="1:15">
      <c r="A95" s="34" t="s">
        <v>61</v>
      </c>
      <c r="B95" s="34"/>
      <c r="C95" s="34"/>
      <c r="D95" s="34"/>
      <c r="E95" s="34"/>
    </row>
    <row r="96" spans="1:15">
      <c r="A96" s="11" t="s">
        <v>340</v>
      </c>
      <c r="B96" s="11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2"/>
    </row>
    <row r="98" spans="1:17">
      <c r="A98" s="7" t="s">
        <v>17</v>
      </c>
      <c r="B98" s="11" t="s">
        <v>3</v>
      </c>
      <c r="C98" s="15"/>
      <c r="E98" s="11"/>
      <c r="F98" s="11"/>
      <c r="G98" s="11"/>
      <c r="H98" s="1"/>
      <c r="I98" s="34">
        <f>0.039*10^-6</f>
        <v>3.8999999999999998E-8</v>
      </c>
      <c r="J98" s="56" t="s">
        <v>110</v>
      </c>
      <c r="K98" s="11"/>
      <c r="L98" s="12"/>
      <c r="M98" s="12"/>
      <c r="N98" s="12"/>
      <c r="O98" s="12"/>
      <c r="P98" s="12"/>
      <c r="Q98" s="12"/>
    </row>
    <row r="99" spans="1:17">
      <c r="A99" s="22" t="s">
        <v>13</v>
      </c>
      <c r="B99" s="11" t="s">
        <v>62</v>
      </c>
      <c r="C99" s="26"/>
      <c r="D99" s="11"/>
      <c r="E99" s="11"/>
      <c r="F99" s="11"/>
      <c r="G99" s="1"/>
      <c r="H99" s="1"/>
      <c r="I99" s="1"/>
      <c r="J99" s="1"/>
    </row>
    <row r="100" spans="1:17">
      <c r="A100" s="22" t="s">
        <v>63</v>
      </c>
      <c r="B100" s="11" t="s">
        <v>66</v>
      </c>
      <c r="C100" s="12"/>
      <c r="I100" s="1"/>
      <c r="J100" s="1"/>
    </row>
    <row r="101" spans="1:17">
      <c r="A101" s="22" t="s">
        <v>12</v>
      </c>
      <c r="B101" s="11" t="s">
        <v>64</v>
      </c>
      <c r="C101" s="12"/>
      <c r="D101" s="11"/>
      <c r="E101" s="11"/>
      <c r="F101" s="11"/>
      <c r="G101" s="1"/>
      <c r="H101" s="1"/>
      <c r="I101" s="1"/>
      <c r="J101" s="1"/>
    </row>
    <row r="102" spans="1:17">
      <c r="A102" s="23" t="s">
        <v>65</v>
      </c>
      <c r="B102" s="11" t="s">
        <v>67</v>
      </c>
      <c r="C102" s="11"/>
      <c r="D102" s="1"/>
      <c r="E102" s="1"/>
      <c r="F102" s="1"/>
      <c r="G102" s="1"/>
      <c r="H102" s="1"/>
      <c r="I102" s="1"/>
      <c r="J102" s="1"/>
    </row>
    <row r="103" spans="1:17">
      <c r="A103" s="22" t="s">
        <v>31</v>
      </c>
      <c r="B103" s="11" t="s">
        <v>33</v>
      </c>
      <c r="C103" s="12"/>
      <c r="D103" s="12"/>
      <c r="E103" s="12"/>
      <c r="F103" s="12"/>
      <c r="G103" s="12"/>
      <c r="H103" s="12"/>
      <c r="I103" s="12"/>
      <c r="J103" s="12"/>
    </row>
    <row r="104" spans="1:17">
      <c r="A104" s="22" t="s">
        <v>7</v>
      </c>
      <c r="B104" s="11" t="s">
        <v>52</v>
      </c>
      <c r="F104" s="1"/>
      <c r="G104" s="1"/>
      <c r="H104" s="1"/>
      <c r="I104" s="1"/>
      <c r="J104" s="1"/>
    </row>
    <row r="105" spans="1:17">
      <c r="A105" s="22" t="s">
        <v>24</v>
      </c>
      <c r="B105" s="11" t="s">
        <v>35</v>
      </c>
      <c r="C105" s="12"/>
      <c r="D105" s="12"/>
    </row>
    <row r="106" spans="1:17">
      <c r="A106" s="22" t="s">
        <v>6</v>
      </c>
      <c r="B106" s="11" t="s">
        <v>32</v>
      </c>
      <c r="C106" s="12"/>
      <c r="D106" s="12"/>
      <c r="E106" s="12"/>
      <c r="F106" s="12"/>
    </row>
    <row r="108" spans="1:17">
      <c r="A108" s="61" t="s">
        <v>151</v>
      </c>
      <c r="B108" s="4" t="s">
        <v>1</v>
      </c>
      <c r="C108" s="4" t="s">
        <v>2</v>
      </c>
      <c r="D108" s="5" t="s">
        <v>74</v>
      </c>
      <c r="E108" s="5" t="s">
        <v>73</v>
      </c>
      <c r="F108" s="6" t="s">
        <v>196</v>
      </c>
      <c r="G108" s="6" t="s">
        <v>15</v>
      </c>
      <c r="H108" s="6" t="s">
        <v>17</v>
      </c>
      <c r="I108" s="4" t="s">
        <v>13</v>
      </c>
      <c r="J108" s="4" t="s">
        <v>12</v>
      </c>
      <c r="K108" s="4" t="s">
        <v>11</v>
      </c>
      <c r="L108" s="4" t="s">
        <v>7</v>
      </c>
      <c r="M108" s="4" t="s">
        <v>6</v>
      </c>
      <c r="N108" s="4" t="s">
        <v>24</v>
      </c>
      <c r="O108" s="17" t="s">
        <v>235</v>
      </c>
    </row>
    <row r="109" spans="1:17">
      <c r="A109" s="89" t="s">
        <v>193</v>
      </c>
      <c r="B109" s="31" t="s">
        <v>99</v>
      </c>
      <c r="C109" s="27">
        <v>1</v>
      </c>
      <c r="D109" s="28">
        <v>0.1</v>
      </c>
      <c r="E109" s="28">
        <v>0.1</v>
      </c>
      <c r="F109" s="83">
        <f>C109*G109</f>
        <v>4.4488079999999998E-9</v>
      </c>
      <c r="G109" s="30">
        <f>H109*I109*J109*L109*M109*N109*K109</f>
        <v>4.4488079999999998E-9</v>
      </c>
      <c r="H109" s="28">
        <f>0.039*10^-6</f>
        <v>3.8999999999999998E-8</v>
      </c>
      <c r="I109" s="24">
        <v>0.1358</v>
      </c>
      <c r="J109" s="24">
        <v>1.5</v>
      </c>
      <c r="K109" s="24">
        <v>0.7</v>
      </c>
      <c r="L109" s="24">
        <v>1</v>
      </c>
      <c r="M109" s="24">
        <v>4</v>
      </c>
      <c r="N109" s="28">
        <v>0.2</v>
      </c>
      <c r="O109" s="28">
        <v>30</v>
      </c>
    </row>
    <row r="110" spans="1:17">
      <c r="A110" s="89" t="s">
        <v>194</v>
      </c>
      <c r="B110" s="31" t="s">
        <v>99</v>
      </c>
      <c r="C110" s="27">
        <v>1</v>
      </c>
      <c r="D110" s="28">
        <v>0.1</v>
      </c>
      <c r="E110" s="28">
        <v>0.1</v>
      </c>
      <c r="F110" s="83">
        <f>C110*G110</f>
        <v>4.4488079999999998E-9</v>
      </c>
      <c r="G110" s="30">
        <f>H110*I110*J110*L110*M110*N110*K110</f>
        <v>4.4488079999999998E-9</v>
      </c>
      <c r="H110" s="28">
        <f>0.039*10^-6</f>
        <v>3.8999999999999998E-8</v>
      </c>
      <c r="I110" s="24">
        <v>0.1358</v>
      </c>
      <c r="J110" s="24">
        <v>1.5</v>
      </c>
      <c r="K110" s="24">
        <v>0.7</v>
      </c>
      <c r="L110" s="24">
        <v>1</v>
      </c>
      <c r="M110" s="24">
        <v>4</v>
      </c>
      <c r="N110" s="28">
        <v>0.2</v>
      </c>
      <c r="O110" s="28">
        <v>30</v>
      </c>
    </row>
    <row r="111" spans="1:17" ht="15" thickBot="1">
      <c r="F111" s="48"/>
    </row>
    <row r="112" spans="1:17" ht="15" thickBot="1">
      <c r="E112" s="128" t="s">
        <v>75</v>
      </c>
      <c r="F112" s="122">
        <f>SUM(F109:F110)</f>
        <v>8.8976159999999997E-9</v>
      </c>
    </row>
    <row r="114" spans="4:6" ht="15" thickBot="1"/>
    <row r="115" spans="4:6" ht="15" thickBot="1">
      <c r="D115" s="55"/>
      <c r="E115" s="134" t="s">
        <v>213</v>
      </c>
      <c r="F115" s="135">
        <f>SUM(E32,E44,G58,E91,F112)</f>
        <v>2.8380555999999999E-8</v>
      </c>
    </row>
  </sheetData>
  <mergeCells count="2">
    <mergeCell ref="A2:Q2"/>
    <mergeCell ref="A9:N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R365"/>
  <sheetViews>
    <sheetView topLeftCell="A345" zoomScaleNormal="100" workbookViewId="0">
      <selection activeCell="F365" sqref="F365"/>
    </sheetView>
  </sheetViews>
  <sheetFormatPr defaultRowHeight="14.5"/>
  <cols>
    <col min="2" max="2" width="47.453125" customWidth="1"/>
    <col min="5" max="6" width="12.453125" customWidth="1"/>
    <col min="7" max="7" width="11" customWidth="1"/>
    <col min="8" max="8" width="9.26953125" customWidth="1"/>
    <col min="9" max="9" width="11" bestFit="1" customWidth="1"/>
    <col min="11" max="11" width="11.453125" customWidth="1"/>
  </cols>
  <sheetData>
    <row r="2" spans="1:17">
      <c r="A2" s="147" t="s">
        <v>342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1:17">
      <c r="A4" s="11" t="s">
        <v>126</v>
      </c>
      <c r="B4" s="11"/>
    </row>
    <row r="5" spans="1:17">
      <c r="A5" s="11" t="s">
        <v>26</v>
      </c>
      <c r="B5" s="11"/>
    </row>
    <row r="6" spans="1:17">
      <c r="A6" s="11" t="s">
        <v>291</v>
      </c>
      <c r="B6" s="11"/>
    </row>
    <row r="10" spans="1:17">
      <c r="A10" s="146" t="s">
        <v>36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</row>
    <row r="12" spans="1:17">
      <c r="A12" s="25" t="s">
        <v>44</v>
      </c>
      <c r="B12" s="25"/>
      <c r="C12" s="25"/>
      <c r="D12" s="25"/>
      <c r="E12" s="25"/>
      <c r="F12" s="11"/>
      <c r="G12" s="25"/>
      <c r="H12" s="1"/>
      <c r="I12" s="1"/>
      <c r="N12" s="1"/>
    </row>
    <row r="13" spans="1:17">
      <c r="A13" s="11" t="s">
        <v>197</v>
      </c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1"/>
    </row>
    <row r="15" spans="1:17">
      <c r="A15" s="7" t="s">
        <v>16</v>
      </c>
      <c r="B15" s="11" t="s">
        <v>37</v>
      </c>
      <c r="C15" s="15"/>
      <c r="E15" s="11"/>
      <c r="F15" s="11"/>
      <c r="H15" s="1"/>
      <c r="I15" s="34">
        <f>0.0207*10^-6</f>
        <v>2.07E-8</v>
      </c>
      <c r="J15" s="56" t="s">
        <v>111</v>
      </c>
      <c r="K15" s="11"/>
      <c r="L15" s="12"/>
      <c r="M15" s="12"/>
      <c r="N15" s="12"/>
    </row>
    <row r="16" spans="1:17">
      <c r="A16" s="22" t="s">
        <v>4</v>
      </c>
      <c r="B16" s="11" t="s">
        <v>38</v>
      </c>
      <c r="C16" s="26"/>
      <c r="D16" s="11"/>
      <c r="E16" s="11"/>
      <c r="F16" s="11"/>
      <c r="G16" s="1"/>
      <c r="H16" s="1"/>
      <c r="I16" s="1"/>
      <c r="J16" s="1"/>
      <c r="K16" s="1"/>
      <c r="L16" s="2"/>
      <c r="M16" s="1"/>
      <c r="N16" s="9"/>
    </row>
    <row r="17" spans="1:14">
      <c r="A17" s="22" t="s">
        <v>6</v>
      </c>
      <c r="B17" s="11" t="s">
        <v>32</v>
      </c>
      <c r="C17" s="12"/>
      <c r="D17" s="12"/>
      <c r="E17" s="12"/>
      <c r="F17" s="12"/>
      <c r="I17" s="1"/>
      <c r="J17" s="1"/>
      <c r="K17" s="1"/>
      <c r="L17" s="2"/>
      <c r="M17" s="1"/>
      <c r="N17" s="1"/>
    </row>
    <row r="18" spans="1:14">
      <c r="A18" s="22" t="s">
        <v>7</v>
      </c>
      <c r="B18" s="11" t="s">
        <v>42</v>
      </c>
      <c r="C18" s="12"/>
      <c r="D18" s="11"/>
      <c r="E18" s="11"/>
      <c r="F18" s="11"/>
      <c r="G18" s="1"/>
      <c r="H18" s="1"/>
      <c r="I18" s="1"/>
      <c r="J18" s="1"/>
      <c r="K18" s="1"/>
      <c r="L18" s="2"/>
      <c r="M18" s="1"/>
      <c r="N18" s="1"/>
    </row>
    <row r="19" spans="1:14">
      <c r="A19" s="23" t="s">
        <v>40</v>
      </c>
      <c r="B19" s="11" t="s">
        <v>41</v>
      </c>
      <c r="C19" s="11"/>
      <c r="D19" s="1"/>
      <c r="E19" s="1"/>
      <c r="F19" s="1"/>
      <c r="G19" s="1"/>
      <c r="H19" s="1"/>
      <c r="I19" s="1"/>
      <c r="J19" s="1"/>
      <c r="K19" s="3"/>
      <c r="L19" s="2"/>
      <c r="M19" s="1"/>
      <c r="N19" s="1"/>
    </row>
    <row r="20" spans="1:14">
      <c r="A20" s="22" t="s">
        <v>31</v>
      </c>
      <c r="B20" s="11" t="s">
        <v>33</v>
      </c>
      <c r="C20" s="12"/>
      <c r="D20" s="12"/>
      <c r="E20" s="12"/>
      <c r="F20" s="12"/>
      <c r="G20" s="12"/>
      <c r="H20" s="12"/>
      <c r="I20" s="12"/>
      <c r="J20" s="12"/>
      <c r="K20" s="12"/>
    </row>
    <row r="21" spans="1:14">
      <c r="A21" s="22" t="s">
        <v>24</v>
      </c>
      <c r="B21" s="11" t="s">
        <v>35</v>
      </c>
      <c r="C21" s="12"/>
      <c r="D21" s="12"/>
      <c r="E21" s="12"/>
      <c r="F21" s="12"/>
      <c r="G21" s="12"/>
      <c r="H21" s="12"/>
      <c r="I21" s="12"/>
      <c r="J21" s="12"/>
      <c r="K21" s="12"/>
    </row>
    <row r="22" spans="1:14">
      <c r="A22" s="22" t="s">
        <v>236</v>
      </c>
      <c r="B22" s="11" t="s">
        <v>297</v>
      </c>
      <c r="C22" s="12"/>
      <c r="D22" s="12"/>
      <c r="E22" s="12"/>
      <c r="F22" s="12"/>
      <c r="G22" s="12"/>
      <c r="H22" s="12"/>
      <c r="I22" s="12"/>
      <c r="J22" s="12"/>
      <c r="K22" s="12"/>
    </row>
    <row r="23" spans="1:14">
      <c r="D23" s="12"/>
      <c r="F23" s="1"/>
      <c r="G23" s="1"/>
      <c r="H23" s="1"/>
      <c r="I23" s="1"/>
      <c r="J23" s="1"/>
      <c r="K23" s="3"/>
    </row>
    <row r="24" spans="1:14">
      <c r="A24" s="61" t="s">
        <v>151</v>
      </c>
      <c r="B24" s="4" t="s">
        <v>1</v>
      </c>
      <c r="C24" s="4" t="s">
        <v>2</v>
      </c>
      <c r="D24" s="44" t="s">
        <v>74</v>
      </c>
      <c r="E24" s="6" t="s">
        <v>196</v>
      </c>
      <c r="F24" s="6" t="s">
        <v>15</v>
      </c>
      <c r="G24" s="6" t="s">
        <v>16</v>
      </c>
      <c r="H24" s="4" t="s">
        <v>4</v>
      </c>
      <c r="I24" s="4" t="s">
        <v>43</v>
      </c>
      <c r="J24" s="4" t="s">
        <v>6</v>
      </c>
      <c r="K24" s="4" t="s">
        <v>24</v>
      </c>
      <c r="L24" s="4" t="s">
        <v>23</v>
      </c>
      <c r="M24" s="4" t="s">
        <v>235</v>
      </c>
    </row>
    <row r="25" spans="1:14">
      <c r="A25" s="62" t="s">
        <v>155</v>
      </c>
      <c r="B25" s="45" t="s">
        <v>216</v>
      </c>
      <c r="C25" s="27">
        <v>1</v>
      </c>
      <c r="D25" s="28">
        <v>0.1</v>
      </c>
      <c r="E25" s="83">
        <f t="shared" ref="E25:E31" si="0">C25*F25</f>
        <v>8.9457120000000012E-10</v>
      </c>
      <c r="F25" s="30">
        <f>G25*H25*I25*J25*K25*L25</f>
        <v>8.9457120000000012E-10</v>
      </c>
      <c r="G25" s="30">
        <f t="shared" ref="G25:G52" si="1">0.0207*10^-6</f>
        <v>2.07E-8</v>
      </c>
      <c r="H25" s="126">
        <v>3.6999999999999998E-2</v>
      </c>
      <c r="I25" s="127">
        <f>1.46</f>
        <v>1.46</v>
      </c>
      <c r="J25" s="24">
        <v>4</v>
      </c>
      <c r="K25" s="28">
        <v>0.2</v>
      </c>
      <c r="L25" s="24">
        <v>1</v>
      </c>
      <c r="M25" s="24">
        <v>33</v>
      </c>
    </row>
    <row r="26" spans="1:14">
      <c r="A26" s="62" t="s">
        <v>156</v>
      </c>
      <c r="B26" s="45" t="s">
        <v>216</v>
      </c>
      <c r="C26" s="27">
        <v>1</v>
      </c>
      <c r="D26" s="28">
        <v>0.1</v>
      </c>
      <c r="E26" s="83">
        <f t="shared" si="0"/>
        <v>8.9457120000000012E-10</v>
      </c>
      <c r="F26" s="30">
        <f t="shared" ref="F26:F31" si="2">G26*H26*I26*J26*K26*L26</f>
        <v>8.9457120000000012E-10</v>
      </c>
      <c r="G26" s="30">
        <f t="shared" si="1"/>
        <v>2.07E-8</v>
      </c>
      <c r="H26" s="126">
        <v>3.6999999999999998E-2</v>
      </c>
      <c r="I26" s="127">
        <f>1.46</f>
        <v>1.46</v>
      </c>
      <c r="J26" s="24">
        <v>4</v>
      </c>
      <c r="K26" s="28">
        <v>0.2</v>
      </c>
      <c r="L26" s="24">
        <v>1</v>
      </c>
      <c r="M26" s="24">
        <v>33</v>
      </c>
    </row>
    <row r="27" spans="1:14">
      <c r="A27" s="62" t="s">
        <v>157</v>
      </c>
      <c r="B27" s="45" t="s">
        <v>216</v>
      </c>
      <c r="C27" s="27">
        <v>1</v>
      </c>
      <c r="D27" s="28">
        <v>0.1</v>
      </c>
      <c r="E27" s="83">
        <f t="shared" si="0"/>
        <v>7.9786080000000012E-10</v>
      </c>
      <c r="F27" s="30">
        <f t="shared" si="2"/>
        <v>7.9786080000000012E-10</v>
      </c>
      <c r="G27" s="30">
        <f t="shared" si="1"/>
        <v>2.07E-8</v>
      </c>
      <c r="H27" s="126">
        <v>3.3000000000000002E-2</v>
      </c>
      <c r="I27" s="127">
        <f>1.46</f>
        <v>1.46</v>
      </c>
      <c r="J27" s="24">
        <v>4</v>
      </c>
      <c r="K27" s="28">
        <v>0.2</v>
      </c>
      <c r="L27" s="24">
        <v>1</v>
      </c>
      <c r="M27" s="24">
        <v>30</v>
      </c>
    </row>
    <row r="28" spans="1:14">
      <c r="A28" s="62" t="s">
        <v>158</v>
      </c>
      <c r="B28" s="45" t="s">
        <v>216</v>
      </c>
      <c r="C28" s="27">
        <v>1</v>
      </c>
      <c r="D28" s="28">
        <v>0.1</v>
      </c>
      <c r="E28" s="83">
        <f t="shared" si="0"/>
        <v>7.9786080000000012E-10</v>
      </c>
      <c r="F28" s="30">
        <f t="shared" si="2"/>
        <v>7.9786080000000012E-10</v>
      </c>
      <c r="G28" s="30">
        <f t="shared" si="1"/>
        <v>2.07E-8</v>
      </c>
      <c r="H28" s="126">
        <v>3.3000000000000002E-2</v>
      </c>
      <c r="I28" s="127">
        <f>1.46</f>
        <v>1.46</v>
      </c>
      <c r="J28" s="24">
        <v>4</v>
      </c>
      <c r="K28" s="28">
        <v>0.2</v>
      </c>
      <c r="L28" s="24">
        <v>1</v>
      </c>
      <c r="M28" s="24">
        <v>30</v>
      </c>
    </row>
    <row r="29" spans="1:14">
      <c r="A29" s="62" t="s">
        <v>160</v>
      </c>
      <c r="B29" s="45" t="s">
        <v>354</v>
      </c>
      <c r="C29" s="27">
        <v>1</v>
      </c>
      <c r="D29" s="28">
        <v>0.1</v>
      </c>
      <c r="E29" s="83">
        <f t="shared" si="0"/>
        <v>3.4974720000000005E-10</v>
      </c>
      <c r="F29" s="30">
        <f>G29*H29*I29*J29*K29*L29</f>
        <v>3.4974720000000005E-10</v>
      </c>
      <c r="G29" s="30">
        <f t="shared" si="1"/>
        <v>2.07E-8</v>
      </c>
      <c r="H29" s="126">
        <v>3.3000000000000002E-2</v>
      </c>
      <c r="I29" s="127">
        <v>0.64</v>
      </c>
      <c r="J29" s="24">
        <v>4</v>
      </c>
      <c r="K29" s="28">
        <v>0.2</v>
      </c>
      <c r="L29" s="24">
        <v>1</v>
      </c>
      <c r="M29" s="24">
        <v>30</v>
      </c>
    </row>
    <row r="30" spans="1:14">
      <c r="A30" s="62" t="s">
        <v>161</v>
      </c>
      <c r="B30" s="45" t="s">
        <v>355</v>
      </c>
      <c r="C30" s="27">
        <v>1</v>
      </c>
      <c r="D30" s="28">
        <v>0.1</v>
      </c>
      <c r="E30" s="83">
        <f t="shared" si="0"/>
        <v>8.1425520000000006E-10</v>
      </c>
      <c r="F30" s="30">
        <f t="shared" si="2"/>
        <v>8.1425520000000006E-10</v>
      </c>
      <c r="G30" s="30">
        <f t="shared" si="1"/>
        <v>2.07E-8</v>
      </c>
      <c r="H30" s="126">
        <v>3.3000000000000002E-2</v>
      </c>
      <c r="I30" s="127">
        <f>1.49</f>
        <v>1.49</v>
      </c>
      <c r="J30" s="24">
        <v>4</v>
      </c>
      <c r="K30" s="28">
        <v>0.2</v>
      </c>
      <c r="L30" s="24">
        <v>1</v>
      </c>
      <c r="M30" s="24">
        <v>30</v>
      </c>
    </row>
    <row r="31" spans="1:14">
      <c r="A31" s="62" t="s">
        <v>162</v>
      </c>
      <c r="B31" s="45" t="s">
        <v>356</v>
      </c>
      <c r="C31" s="27">
        <v>1</v>
      </c>
      <c r="D31" s="28">
        <v>0.1</v>
      </c>
      <c r="E31" s="83">
        <f t="shared" si="0"/>
        <v>4.3171920000000009E-10</v>
      </c>
      <c r="F31" s="30">
        <f t="shared" si="2"/>
        <v>4.3171920000000009E-10</v>
      </c>
      <c r="G31" s="30">
        <f t="shared" si="1"/>
        <v>2.07E-8</v>
      </c>
      <c r="H31" s="126">
        <v>3.3000000000000002E-2</v>
      </c>
      <c r="I31" s="127">
        <v>0.79</v>
      </c>
      <c r="J31" s="24">
        <v>4</v>
      </c>
      <c r="K31" s="28">
        <v>0.2</v>
      </c>
      <c r="L31" s="24">
        <v>1</v>
      </c>
      <c r="M31" s="24">
        <v>30</v>
      </c>
    </row>
    <row r="32" spans="1:14">
      <c r="A32" s="62" t="s">
        <v>167</v>
      </c>
      <c r="B32" s="45" t="s">
        <v>315</v>
      </c>
      <c r="C32" s="27">
        <v>1</v>
      </c>
      <c r="D32" s="28">
        <v>0.17</v>
      </c>
      <c r="E32" s="83">
        <f t="shared" ref="E32:E33" si="3">C32*F32</f>
        <v>1.0760688E-9</v>
      </c>
      <c r="F32" s="30">
        <f t="shared" ref="F32:F33" si="4">G32*H32*I32*J32*K32*L32</f>
        <v>1.0760688E-9</v>
      </c>
      <c r="G32" s="30">
        <f t="shared" si="1"/>
        <v>2.07E-8</v>
      </c>
      <c r="H32" s="126">
        <v>3.7999999999999999E-2</v>
      </c>
      <c r="I32" s="127">
        <f>1.71</f>
        <v>1.71</v>
      </c>
      <c r="J32" s="24">
        <v>4</v>
      </c>
      <c r="K32" s="28">
        <v>0.2</v>
      </c>
      <c r="L32" s="24">
        <v>1</v>
      </c>
      <c r="M32" s="24">
        <v>30</v>
      </c>
    </row>
    <row r="33" spans="1:13">
      <c r="A33" s="62" t="s">
        <v>182</v>
      </c>
      <c r="B33" s="45" t="s">
        <v>357</v>
      </c>
      <c r="C33" s="27">
        <v>1</v>
      </c>
      <c r="D33" s="28">
        <v>0.25</v>
      </c>
      <c r="E33" s="83">
        <f t="shared" si="3"/>
        <v>1.5566400000000001E-9</v>
      </c>
      <c r="F33" s="30">
        <f t="shared" si="4"/>
        <v>1.5566400000000001E-9</v>
      </c>
      <c r="G33" s="30">
        <f t="shared" si="1"/>
        <v>2.07E-8</v>
      </c>
      <c r="H33" s="126">
        <v>0.05</v>
      </c>
      <c r="I33" s="127">
        <f>1.88</f>
        <v>1.88</v>
      </c>
      <c r="J33" s="24">
        <v>4</v>
      </c>
      <c r="K33" s="28">
        <v>0.2</v>
      </c>
      <c r="L33" s="24">
        <v>1</v>
      </c>
      <c r="M33" s="24">
        <v>30</v>
      </c>
    </row>
    <row r="34" spans="1:13">
      <c r="A34" s="62" t="s">
        <v>252</v>
      </c>
      <c r="B34" s="45" t="s">
        <v>315</v>
      </c>
      <c r="C34" s="27">
        <v>1</v>
      </c>
      <c r="D34" s="28">
        <v>0.25</v>
      </c>
      <c r="E34" s="83">
        <f t="shared" ref="E34:E48" si="5">C34*F34</f>
        <v>1.4158800000000001E-9</v>
      </c>
      <c r="F34" s="30">
        <f>G34*H34*I34*J34*K34*L34</f>
        <v>1.4158800000000001E-9</v>
      </c>
      <c r="G34" s="30">
        <f t="shared" si="1"/>
        <v>2.07E-8</v>
      </c>
      <c r="H34" s="126">
        <v>0.05</v>
      </c>
      <c r="I34" s="127">
        <f>1.71</f>
        <v>1.71</v>
      </c>
      <c r="J34" s="24">
        <v>4</v>
      </c>
      <c r="K34" s="28">
        <v>0.2</v>
      </c>
      <c r="L34" s="24">
        <v>1</v>
      </c>
      <c r="M34" s="28">
        <v>30</v>
      </c>
    </row>
    <row r="35" spans="1:13">
      <c r="A35" s="62" t="s">
        <v>218</v>
      </c>
      <c r="B35" s="45" t="s">
        <v>358</v>
      </c>
      <c r="C35" s="27">
        <v>1</v>
      </c>
      <c r="D35" s="28">
        <v>0.22</v>
      </c>
      <c r="E35" s="83">
        <f t="shared" si="5"/>
        <v>9.6909120000000019E-10</v>
      </c>
      <c r="F35" s="30">
        <f>G35*H35*I35*J35*K35*L35</f>
        <v>9.6909120000000019E-10</v>
      </c>
      <c r="G35" s="30">
        <f t="shared" si="1"/>
        <v>2.07E-8</v>
      </c>
      <c r="H35" s="126">
        <v>4.3999999999999997E-2</v>
      </c>
      <c r="I35" s="127">
        <f>1.33</f>
        <v>1.33</v>
      </c>
      <c r="J35" s="24">
        <v>4</v>
      </c>
      <c r="K35" s="28">
        <v>0.2</v>
      </c>
      <c r="L35" s="24">
        <v>1</v>
      </c>
      <c r="M35" s="28">
        <v>30</v>
      </c>
    </row>
    <row r="36" spans="1:13">
      <c r="A36" s="62" t="s">
        <v>184</v>
      </c>
      <c r="B36" s="45" t="s">
        <v>359</v>
      </c>
      <c r="C36" s="27">
        <v>1</v>
      </c>
      <c r="D36" s="28">
        <v>0.5</v>
      </c>
      <c r="E36" s="83">
        <f t="shared" si="5"/>
        <v>6.1901280000000006E-9</v>
      </c>
      <c r="F36" s="30">
        <f t="shared" ref="F36:F42" si="6">G36*H36*I36*J36*K36*L36</f>
        <v>6.1901280000000006E-9</v>
      </c>
      <c r="G36" s="30">
        <f t="shared" si="1"/>
        <v>2.07E-8</v>
      </c>
      <c r="H36" s="126">
        <v>0.17799999999999999</v>
      </c>
      <c r="I36" s="127">
        <f>2.1</f>
        <v>2.1</v>
      </c>
      <c r="J36" s="24">
        <v>4</v>
      </c>
      <c r="K36" s="28">
        <v>0.2</v>
      </c>
      <c r="L36" s="24">
        <v>1</v>
      </c>
      <c r="M36" s="28">
        <v>30</v>
      </c>
    </row>
    <row r="37" spans="1:13">
      <c r="A37" s="62" t="s">
        <v>253</v>
      </c>
      <c r="B37" s="45" t="s">
        <v>315</v>
      </c>
      <c r="C37" s="27">
        <v>1</v>
      </c>
      <c r="D37" s="28">
        <v>0.21</v>
      </c>
      <c r="E37" s="83">
        <f t="shared" si="5"/>
        <v>1.3592448E-9</v>
      </c>
      <c r="F37" s="30">
        <f t="shared" si="6"/>
        <v>1.3592448E-9</v>
      </c>
      <c r="G37" s="30">
        <f t="shared" si="1"/>
        <v>2.07E-8</v>
      </c>
      <c r="H37" s="126">
        <v>4.8000000000000001E-2</v>
      </c>
      <c r="I37" s="127">
        <f>1.71</f>
        <v>1.71</v>
      </c>
      <c r="J37" s="24">
        <v>4</v>
      </c>
      <c r="K37" s="28">
        <v>0.2</v>
      </c>
      <c r="L37" s="24">
        <v>1</v>
      </c>
      <c r="M37" s="28">
        <v>33</v>
      </c>
    </row>
    <row r="38" spans="1:13">
      <c r="A38" s="62" t="s">
        <v>254</v>
      </c>
      <c r="B38" s="45" t="s">
        <v>360</v>
      </c>
      <c r="C38" s="27">
        <v>1</v>
      </c>
      <c r="D38" s="28">
        <v>0.11</v>
      </c>
      <c r="E38" s="83">
        <f t="shared" si="5"/>
        <v>6.8011920000000008E-10</v>
      </c>
      <c r="F38" s="30">
        <f t="shared" si="6"/>
        <v>6.8011920000000008E-10</v>
      </c>
      <c r="G38" s="30">
        <f t="shared" si="1"/>
        <v>2.07E-8</v>
      </c>
      <c r="H38" s="126">
        <v>3.6999999999999998E-2</v>
      </c>
      <c r="I38" s="127">
        <f>1.11</f>
        <v>1.1100000000000001</v>
      </c>
      <c r="J38" s="24">
        <v>4</v>
      </c>
      <c r="K38" s="28">
        <v>0.2</v>
      </c>
      <c r="L38" s="24">
        <v>1</v>
      </c>
      <c r="M38" s="28">
        <v>33</v>
      </c>
    </row>
    <row r="39" spans="1:13">
      <c r="A39" s="62" t="s">
        <v>343</v>
      </c>
      <c r="B39" s="45" t="s">
        <v>361</v>
      </c>
      <c r="C39" s="27">
        <v>1</v>
      </c>
      <c r="D39" s="28">
        <v>0.1</v>
      </c>
      <c r="E39" s="83">
        <f t="shared" si="5"/>
        <v>4.2890400000000002E-10</v>
      </c>
      <c r="F39" s="30">
        <f t="shared" si="6"/>
        <v>4.2890400000000002E-10</v>
      </c>
      <c r="G39" s="30">
        <f t="shared" si="1"/>
        <v>2.07E-8</v>
      </c>
      <c r="H39" s="126">
        <v>3.6999999999999998E-2</v>
      </c>
      <c r="I39" s="127">
        <f>0.7</f>
        <v>0.7</v>
      </c>
      <c r="J39" s="24">
        <v>4</v>
      </c>
      <c r="K39" s="28">
        <v>0.2</v>
      </c>
      <c r="L39" s="24">
        <v>1</v>
      </c>
      <c r="M39" s="24">
        <v>33</v>
      </c>
    </row>
    <row r="40" spans="1:13">
      <c r="A40" s="62" t="s">
        <v>344</v>
      </c>
      <c r="B40" s="45" t="s">
        <v>362</v>
      </c>
      <c r="C40" s="27">
        <v>1</v>
      </c>
      <c r="D40" s="28">
        <v>0.1</v>
      </c>
      <c r="E40" s="83">
        <f t="shared" si="5"/>
        <v>5.8821119999999995E-10</v>
      </c>
      <c r="F40" s="30">
        <f t="shared" si="6"/>
        <v>5.8821119999999995E-10</v>
      </c>
      <c r="G40" s="30">
        <f t="shared" si="1"/>
        <v>2.07E-8</v>
      </c>
      <c r="H40" s="126">
        <v>3.6999999999999998E-2</v>
      </c>
      <c r="I40" s="127">
        <f>0.96</f>
        <v>0.96</v>
      </c>
      <c r="J40" s="24">
        <v>4</v>
      </c>
      <c r="K40" s="28">
        <v>0.2</v>
      </c>
      <c r="L40" s="24">
        <v>1</v>
      </c>
      <c r="M40" s="24">
        <v>33</v>
      </c>
    </row>
    <row r="41" spans="1:13">
      <c r="A41" s="62" t="s">
        <v>345</v>
      </c>
      <c r="B41" s="45" t="s">
        <v>354</v>
      </c>
      <c r="C41" s="27">
        <v>1</v>
      </c>
      <c r="D41" s="28">
        <v>0.1</v>
      </c>
      <c r="E41" s="83">
        <f t="shared" si="5"/>
        <v>3.9214080000000005E-10</v>
      </c>
      <c r="F41" s="30">
        <f t="shared" si="6"/>
        <v>3.9214080000000005E-10</v>
      </c>
      <c r="G41" s="30">
        <f t="shared" si="1"/>
        <v>2.07E-8</v>
      </c>
      <c r="H41" s="126">
        <v>3.6999999999999998E-2</v>
      </c>
      <c r="I41" s="127">
        <v>0.64</v>
      </c>
      <c r="J41" s="24">
        <v>4</v>
      </c>
      <c r="K41" s="28">
        <v>0.2</v>
      </c>
      <c r="L41" s="24">
        <v>1</v>
      </c>
      <c r="M41" s="24">
        <v>33</v>
      </c>
    </row>
    <row r="42" spans="1:13">
      <c r="A42" s="62" t="s">
        <v>346</v>
      </c>
      <c r="B42" s="45" t="s">
        <v>363</v>
      </c>
      <c r="C42" s="27">
        <v>1</v>
      </c>
      <c r="D42" s="28">
        <v>0.1</v>
      </c>
      <c r="E42" s="83">
        <f t="shared" si="5"/>
        <v>8.3329920000000006E-10</v>
      </c>
      <c r="F42" s="30">
        <f t="shared" si="6"/>
        <v>8.3329920000000006E-10</v>
      </c>
      <c r="G42" s="30">
        <f t="shared" si="1"/>
        <v>2.07E-8</v>
      </c>
      <c r="H42" s="126">
        <v>3.6999999999999998E-2</v>
      </c>
      <c r="I42" s="127">
        <f>1.36</f>
        <v>1.36</v>
      </c>
      <c r="J42" s="24">
        <v>4</v>
      </c>
      <c r="K42" s="28">
        <v>0.2</v>
      </c>
      <c r="L42" s="24">
        <v>1</v>
      </c>
      <c r="M42" s="24">
        <v>33</v>
      </c>
    </row>
    <row r="43" spans="1:13">
      <c r="A43" s="62" t="s">
        <v>255</v>
      </c>
      <c r="B43" s="45" t="s">
        <v>354</v>
      </c>
      <c r="C43" s="27">
        <v>1</v>
      </c>
      <c r="D43" s="28">
        <v>0.1</v>
      </c>
      <c r="E43" s="83">
        <f t="shared" si="5"/>
        <v>3.9214080000000005E-10</v>
      </c>
      <c r="F43" s="30">
        <f>G43*H43*I43*J43*K43*L43</f>
        <v>3.9214080000000005E-10</v>
      </c>
      <c r="G43" s="30">
        <f t="shared" si="1"/>
        <v>2.07E-8</v>
      </c>
      <c r="H43" s="126">
        <v>3.6999999999999998E-2</v>
      </c>
      <c r="I43" s="127">
        <v>0.64</v>
      </c>
      <c r="J43" s="24">
        <v>4</v>
      </c>
      <c r="K43" s="28">
        <v>0.2</v>
      </c>
      <c r="L43" s="24">
        <v>1</v>
      </c>
      <c r="M43" s="28">
        <v>33</v>
      </c>
    </row>
    <row r="44" spans="1:13">
      <c r="A44" s="62" t="s">
        <v>256</v>
      </c>
      <c r="B44" s="45" t="s">
        <v>315</v>
      </c>
      <c r="C44" s="27">
        <v>1</v>
      </c>
      <c r="D44" s="28">
        <v>0.48</v>
      </c>
      <c r="E44" s="83">
        <f t="shared" si="5"/>
        <v>5.0971679999999999E-9</v>
      </c>
      <c r="F44" s="30">
        <f>G44*H44*I44*J44*K44*L44</f>
        <v>5.0971679999999999E-9</v>
      </c>
      <c r="G44" s="30">
        <f t="shared" si="1"/>
        <v>2.07E-8</v>
      </c>
      <c r="H44" s="126">
        <v>0.18</v>
      </c>
      <c r="I44" s="127">
        <f>1.71</f>
        <v>1.71</v>
      </c>
      <c r="J44" s="24">
        <v>4</v>
      </c>
      <c r="K44" s="28">
        <v>0.2</v>
      </c>
      <c r="L44" s="24">
        <v>1</v>
      </c>
      <c r="M44" s="28">
        <v>33</v>
      </c>
    </row>
    <row r="45" spans="1:13">
      <c r="A45" s="62" t="s">
        <v>259</v>
      </c>
      <c r="B45" s="45" t="s">
        <v>360</v>
      </c>
      <c r="C45" s="27">
        <v>1</v>
      </c>
      <c r="D45" s="28">
        <v>0.38</v>
      </c>
      <c r="E45" s="83">
        <f t="shared" si="5"/>
        <v>1.9668312000000003E-9</v>
      </c>
      <c r="F45" s="30">
        <f t="shared" ref="F45:F48" si="7">G45*H45*I45*J45*K45*L45</f>
        <v>1.9668312000000003E-9</v>
      </c>
      <c r="G45" s="30">
        <f t="shared" si="1"/>
        <v>2.07E-8</v>
      </c>
      <c r="H45" s="126">
        <v>0.107</v>
      </c>
      <c r="I45" s="127">
        <f>1.11</f>
        <v>1.1100000000000001</v>
      </c>
      <c r="J45" s="24">
        <v>4</v>
      </c>
      <c r="K45" s="28">
        <v>0.2</v>
      </c>
      <c r="L45" s="24">
        <v>1</v>
      </c>
      <c r="M45" s="28">
        <v>33</v>
      </c>
    </row>
    <row r="46" spans="1:13">
      <c r="A46" s="62" t="s">
        <v>260</v>
      </c>
      <c r="B46" s="45" t="s">
        <v>364</v>
      </c>
      <c r="C46" s="27">
        <v>1</v>
      </c>
      <c r="D46" s="28">
        <v>0.22</v>
      </c>
      <c r="E46" s="83">
        <f t="shared" si="5"/>
        <v>9.1411200000000008E-10</v>
      </c>
      <c r="F46" s="30">
        <f t="shared" si="7"/>
        <v>9.1411200000000008E-10</v>
      </c>
      <c r="G46" s="30">
        <f t="shared" si="1"/>
        <v>2.07E-8</v>
      </c>
      <c r="H46" s="126">
        <v>0.06</v>
      </c>
      <c r="I46" s="127">
        <v>0.92</v>
      </c>
      <c r="J46" s="24">
        <v>4</v>
      </c>
      <c r="K46" s="28">
        <v>0.2</v>
      </c>
      <c r="L46" s="24">
        <v>1</v>
      </c>
      <c r="M46" s="28">
        <v>38</v>
      </c>
    </row>
    <row r="47" spans="1:13">
      <c r="A47" s="62" t="s">
        <v>221</v>
      </c>
      <c r="B47" s="45" t="s">
        <v>364</v>
      </c>
      <c r="C47" s="27">
        <v>1</v>
      </c>
      <c r="D47" s="28">
        <v>0.22</v>
      </c>
      <c r="E47" s="83">
        <f t="shared" si="5"/>
        <v>9.1411200000000008E-10</v>
      </c>
      <c r="F47" s="30">
        <f t="shared" si="7"/>
        <v>9.1411200000000008E-10</v>
      </c>
      <c r="G47" s="30">
        <f t="shared" si="1"/>
        <v>2.07E-8</v>
      </c>
      <c r="H47" s="126">
        <v>0.06</v>
      </c>
      <c r="I47" s="127">
        <v>0.92</v>
      </c>
      <c r="J47" s="24">
        <v>4</v>
      </c>
      <c r="K47" s="28">
        <v>0.2</v>
      </c>
      <c r="L47" s="24">
        <v>1</v>
      </c>
      <c r="M47" s="28">
        <v>38</v>
      </c>
    </row>
    <row r="48" spans="1:13">
      <c r="A48" s="62" t="s">
        <v>262</v>
      </c>
      <c r="B48" s="45" t="s">
        <v>365</v>
      </c>
      <c r="C48" s="27">
        <v>1</v>
      </c>
      <c r="D48" s="28">
        <v>0.5</v>
      </c>
      <c r="E48" s="83">
        <f t="shared" si="5"/>
        <v>3.1477247999999998E-9</v>
      </c>
      <c r="F48" s="30">
        <f t="shared" si="7"/>
        <v>3.1477247999999998E-9</v>
      </c>
      <c r="G48" s="30">
        <f t="shared" si="1"/>
        <v>2.07E-8</v>
      </c>
      <c r="H48" s="126">
        <v>0.19800000000000001</v>
      </c>
      <c r="I48" s="127">
        <f>0.96</f>
        <v>0.96</v>
      </c>
      <c r="J48" s="24">
        <v>4</v>
      </c>
      <c r="K48" s="28">
        <v>0.2</v>
      </c>
      <c r="L48" s="24">
        <v>1</v>
      </c>
      <c r="M48" s="28">
        <v>33</v>
      </c>
    </row>
    <row r="49" spans="1:13">
      <c r="A49" s="62" t="s">
        <v>265</v>
      </c>
      <c r="B49" s="45" t="s">
        <v>217</v>
      </c>
      <c r="C49" s="27">
        <v>1</v>
      </c>
      <c r="D49" s="28">
        <v>0.1</v>
      </c>
      <c r="E49" s="83">
        <f t="shared" ref="E49:E51" si="8">C49*F49</f>
        <v>9.129528E-10</v>
      </c>
      <c r="F49" s="30">
        <f t="shared" ref="F49:F51" si="9">G49*H49*I49*J49*K49*L49</f>
        <v>9.129528E-10</v>
      </c>
      <c r="G49" s="30">
        <f t="shared" si="1"/>
        <v>2.07E-8</v>
      </c>
      <c r="H49" s="126">
        <v>3.6999999999999998E-2</v>
      </c>
      <c r="I49" s="127">
        <f>1.49</f>
        <v>1.49</v>
      </c>
      <c r="J49" s="24">
        <v>4</v>
      </c>
      <c r="K49" s="28">
        <v>0.2</v>
      </c>
      <c r="L49" s="24">
        <v>1</v>
      </c>
      <c r="M49" s="28">
        <v>33</v>
      </c>
    </row>
    <row r="50" spans="1:13">
      <c r="A50" s="62" t="s">
        <v>223</v>
      </c>
      <c r="B50" s="45" t="s">
        <v>217</v>
      </c>
      <c r="C50" s="27">
        <v>1</v>
      </c>
      <c r="D50" s="28">
        <v>0.15</v>
      </c>
      <c r="E50" s="83">
        <f t="shared" ref="E50" si="10">C50*F50</f>
        <v>9.86976E-10</v>
      </c>
      <c r="F50" s="30">
        <f t="shared" ref="F50" si="11">G50*H50*I50*J50*K50*L50</f>
        <v>9.86976E-10</v>
      </c>
      <c r="G50" s="30">
        <f t="shared" si="1"/>
        <v>2.07E-8</v>
      </c>
      <c r="H50" s="126">
        <v>0.04</v>
      </c>
      <c r="I50" s="127">
        <f>1.49</f>
        <v>1.49</v>
      </c>
      <c r="J50" s="24">
        <v>4</v>
      </c>
      <c r="K50" s="28">
        <v>0.2</v>
      </c>
      <c r="L50" s="24">
        <v>1</v>
      </c>
      <c r="M50" s="28">
        <v>33</v>
      </c>
    </row>
    <row r="51" spans="1:13">
      <c r="A51" s="62" t="s">
        <v>224</v>
      </c>
      <c r="B51" s="45" t="s">
        <v>315</v>
      </c>
      <c r="C51" s="27">
        <v>1</v>
      </c>
      <c r="D51" s="28">
        <v>0.21</v>
      </c>
      <c r="E51" s="83">
        <f t="shared" si="8"/>
        <v>1.3592448E-9</v>
      </c>
      <c r="F51" s="30">
        <f t="shared" si="9"/>
        <v>1.3592448E-9</v>
      </c>
      <c r="G51" s="30">
        <f t="shared" si="1"/>
        <v>2.07E-8</v>
      </c>
      <c r="H51" s="126">
        <v>4.8000000000000001E-2</v>
      </c>
      <c r="I51" s="127">
        <f>1.71</f>
        <v>1.71</v>
      </c>
      <c r="J51" s="24">
        <v>4</v>
      </c>
      <c r="K51" s="28">
        <v>0.2</v>
      </c>
      <c r="L51" s="24">
        <v>1</v>
      </c>
      <c r="M51" s="28">
        <v>33</v>
      </c>
    </row>
    <row r="52" spans="1:13">
      <c r="A52" s="62" t="s">
        <v>257</v>
      </c>
      <c r="B52" s="45" t="s">
        <v>357</v>
      </c>
      <c r="C52" s="27">
        <v>1</v>
      </c>
      <c r="D52" s="28">
        <v>0.18</v>
      </c>
      <c r="E52" s="83">
        <f t="shared" ref="E52" si="12">C52*F52</f>
        <v>1.3387103999999999E-9</v>
      </c>
      <c r="F52" s="30">
        <f t="shared" ref="F52" si="13">G52*H52*I52*J52*K52*L52</f>
        <v>1.3387103999999999E-9</v>
      </c>
      <c r="G52" s="30">
        <f t="shared" si="1"/>
        <v>2.07E-8</v>
      </c>
      <c r="H52" s="126">
        <v>4.2999999999999997E-2</v>
      </c>
      <c r="I52" s="127">
        <f>1.88</f>
        <v>1.88</v>
      </c>
      <c r="J52" s="24">
        <v>4</v>
      </c>
      <c r="K52" s="28">
        <v>0.2</v>
      </c>
      <c r="L52" s="24">
        <v>1</v>
      </c>
      <c r="M52" s="28">
        <v>33</v>
      </c>
    </row>
    <row r="53" spans="1:13" ht="15" thickBot="1">
      <c r="B53" s="68"/>
      <c r="D53" s="15"/>
      <c r="E53" s="95"/>
      <c r="F53" s="26"/>
      <c r="G53" s="26"/>
      <c r="H53" s="50"/>
      <c r="I53" s="50"/>
      <c r="J53" s="50"/>
      <c r="K53" s="15"/>
      <c r="L53" s="50"/>
    </row>
    <row r="54" spans="1:13" ht="15" thickBot="1">
      <c r="D54" s="128" t="s">
        <v>75</v>
      </c>
      <c r="E54" s="87">
        <f>SUM(E25:E52)</f>
        <v>3.7500285599999997E-8</v>
      </c>
    </row>
    <row r="57" spans="1:13">
      <c r="A57" s="25" t="s">
        <v>46</v>
      </c>
    </row>
    <row r="58" spans="1:13">
      <c r="A58" s="11" t="s">
        <v>197</v>
      </c>
    </row>
    <row r="59" spans="1:13">
      <c r="A59" s="11"/>
    </row>
    <row r="60" spans="1:13">
      <c r="A60" s="7" t="s">
        <v>16</v>
      </c>
      <c r="B60" s="11" t="s">
        <v>37</v>
      </c>
      <c r="C60" s="15"/>
      <c r="F60" s="11"/>
      <c r="I60" s="34">
        <f>0.064*10^-6</f>
        <v>6.4000000000000004E-8</v>
      </c>
      <c r="J60" s="56" t="s">
        <v>111</v>
      </c>
    </row>
    <row r="61" spans="1:13">
      <c r="A61" s="22" t="s">
        <v>5</v>
      </c>
      <c r="B61" s="11" t="s">
        <v>39</v>
      </c>
      <c r="C61" s="15"/>
      <c r="D61" s="11"/>
      <c r="E61" s="11"/>
      <c r="F61" s="11"/>
      <c r="G61" s="1"/>
      <c r="H61" s="1"/>
    </row>
    <row r="62" spans="1:13">
      <c r="A62" s="22" t="s">
        <v>236</v>
      </c>
      <c r="B62" s="11" t="s">
        <v>297</v>
      </c>
      <c r="C62" s="15"/>
      <c r="D62" s="11"/>
      <c r="E62" s="11"/>
      <c r="F62" s="11"/>
      <c r="G62" s="1"/>
      <c r="H62" s="1"/>
    </row>
    <row r="64" spans="1:13">
      <c r="A64" s="61" t="s">
        <v>151</v>
      </c>
      <c r="B64" s="4" t="s">
        <v>1</v>
      </c>
      <c r="C64" s="4" t="s">
        <v>2</v>
      </c>
      <c r="D64" s="44" t="s">
        <v>74</v>
      </c>
      <c r="E64" s="6" t="s">
        <v>196</v>
      </c>
      <c r="F64" s="6" t="s">
        <v>15</v>
      </c>
      <c r="G64" s="6" t="s">
        <v>16</v>
      </c>
      <c r="H64" s="4" t="s">
        <v>4</v>
      </c>
      <c r="I64" s="4" t="s">
        <v>5</v>
      </c>
      <c r="J64" s="4" t="s">
        <v>6</v>
      </c>
      <c r="K64" s="4" t="s">
        <v>24</v>
      </c>
      <c r="L64" s="4" t="s">
        <v>23</v>
      </c>
      <c r="M64" s="4" t="s">
        <v>235</v>
      </c>
    </row>
    <row r="65" spans="1:13">
      <c r="A65" s="62" t="s">
        <v>154</v>
      </c>
      <c r="B65" s="116" t="s">
        <v>492</v>
      </c>
      <c r="C65" s="27">
        <v>1</v>
      </c>
      <c r="D65" s="28">
        <v>0.54</v>
      </c>
      <c r="E65" s="83">
        <f>C65*F65</f>
        <v>5.5296000000000004E-9</v>
      </c>
      <c r="F65" s="30">
        <f>G65*H65*I65*J65*K65*L65</f>
        <v>5.5296000000000004E-9</v>
      </c>
      <c r="G65" s="28">
        <f>0.064*10^-6</f>
        <v>6.4000000000000004E-8</v>
      </c>
      <c r="H65" s="127">
        <f>0.36</f>
        <v>0.36</v>
      </c>
      <c r="I65" s="24">
        <f>1</f>
        <v>1</v>
      </c>
      <c r="J65" s="24">
        <v>4</v>
      </c>
      <c r="K65" s="28">
        <v>0.2</v>
      </c>
      <c r="L65" s="24">
        <v>0.3</v>
      </c>
      <c r="M65" s="28">
        <v>33</v>
      </c>
    </row>
    <row r="66" spans="1:13">
      <c r="A66" s="62" t="s">
        <v>159</v>
      </c>
      <c r="B66" s="116" t="s">
        <v>492</v>
      </c>
      <c r="C66" s="27">
        <v>1</v>
      </c>
      <c r="D66" s="28">
        <v>0.3</v>
      </c>
      <c r="E66" s="83">
        <f>C66*F66</f>
        <v>3.3792000000000001E-9</v>
      </c>
      <c r="F66" s="30">
        <f>G66*H66*I66*J66*K66*L66</f>
        <v>3.3792000000000001E-9</v>
      </c>
      <c r="G66" s="28">
        <f>0.064*10^-6</f>
        <v>6.4000000000000004E-8</v>
      </c>
      <c r="H66" s="127">
        <f>0.22</f>
        <v>0.22</v>
      </c>
      <c r="I66" s="24">
        <f>1</f>
        <v>1</v>
      </c>
      <c r="J66" s="24">
        <v>4</v>
      </c>
      <c r="K66" s="28">
        <v>0.2</v>
      </c>
      <c r="L66" s="24">
        <v>0.3</v>
      </c>
      <c r="M66" s="28">
        <v>33</v>
      </c>
    </row>
    <row r="67" spans="1:13">
      <c r="A67" s="62" t="s">
        <v>241</v>
      </c>
      <c r="B67" s="116" t="s">
        <v>492</v>
      </c>
      <c r="C67" s="27">
        <v>1</v>
      </c>
      <c r="D67" s="28">
        <v>0.21</v>
      </c>
      <c r="E67" s="83">
        <f>C67*F67</f>
        <v>3.0720000000000006E-9</v>
      </c>
      <c r="F67" s="30">
        <f>G67*H67*I67*J67*K67*L67</f>
        <v>3.0720000000000006E-9</v>
      </c>
      <c r="G67" s="28">
        <f>0.064*10^-6</f>
        <v>6.4000000000000004E-8</v>
      </c>
      <c r="H67" s="127">
        <f>0.2</f>
        <v>0.2</v>
      </c>
      <c r="I67" s="24">
        <f>1</f>
        <v>1</v>
      </c>
      <c r="J67" s="24">
        <v>4</v>
      </c>
      <c r="K67" s="28">
        <v>0.2</v>
      </c>
      <c r="L67" s="24">
        <v>0.3</v>
      </c>
      <c r="M67" s="28">
        <v>33</v>
      </c>
    </row>
    <row r="68" spans="1:13">
      <c r="A68" s="62" t="s">
        <v>242</v>
      </c>
      <c r="B68" s="116" t="s">
        <v>492</v>
      </c>
      <c r="C68" s="27">
        <v>1</v>
      </c>
      <c r="D68" s="28">
        <v>0.21</v>
      </c>
      <c r="E68" s="83">
        <f>C68*F68</f>
        <v>3.0720000000000006E-9</v>
      </c>
      <c r="F68" s="30">
        <f>G68*H68*I68*J68*K68*L68</f>
        <v>3.0720000000000006E-9</v>
      </c>
      <c r="G68" s="28">
        <f>0.064*10^-6</f>
        <v>6.4000000000000004E-8</v>
      </c>
      <c r="H68" s="127">
        <f>0.2</f>
        <v>0.2</v>
      </c>
      <c r="I68" s="24">
        <f>1</f>
        <v>1</v>
      </c>
      <c r="J68" s="24">
        <v>4</v>
      </c>
      <c r="K68" s="28">
        <v>0.2</v>
      </c>
      <c r="L68" s="24">
        <v>0.3</v>
      </c>
      <c r="M68" s="28">
        <v>33</v>
      </c>
    </row>
    <row r="69" spans="1:13" ht="15" thickBot="1">
      <c r="B69" s="125"/>
      <c r="F69" s="26"/>
      <c r="G69" s="15"/>
      <c r="H69" s="50"/>
      <c r="I69" s="50"/>
      <c r="J69" s="50"/>
      <c r="K69" s="15"/>
      <c r="L69" s="50"/>
      <c r="M69" s="15"/>
    </row>
    <row r="70" spans="1:13" ht="15" thickBot="1">
      <c r="D70" s="128" t="s">
        <v>75</v>
      </c>
      <c r="E70" s="122">
        <f>SUM(E65:E68)</f>
        <v>1.5052800000000002E-8</v>
      </c>
    </row>
    <row r="73" spans="1:13">
      <c r="A73" s="11"/>
    </row>
    <row r="74" spans="1:13">
      <c r="A74" s="25" t="s">
        <v>46</v>
      </c>
      <c r="B74" s="25"/>
      <c r="C74" s="25"/>
      <c r="D74" s="1"/>
      <c r="E74" s="1"/>
      <c r="F74" s="1"/>
      <c r="G74" s="1"/>
      <c r="H74" s="1"/>
      <c r="I74" s="1"/>
      <c r="J74" s="1"/>
      <c r="K74" s="1"/>
    </row>
    <row r="75" spans="1:13">
      <c r="A75" s="11" t="s">
        <v>398</v>
      </c>
      <c r="B75" s="11"/>
      <c r="C75" s="11"/>
      <c r="D75" s="11"/>
      <c r="E75" s="11"/>
      <c r="F75" s="11"/>
      <c r="G75" s="11"/>
      <c r="H75" s="11"/>
      <c r="I75" s="11"/>
      <c r="J75" s="11"/>
      <c r="K75" s="12"/>
    </row>
    <row r="77" spans="1:13">
      <c r="A77" s="7" t="s">
        <v>15</v>
      </c>
      <c r="B77" s="11" t="s">
        <v>239</v>
      </c>
      <c r="C77" s="15"/>
      <c r="F77" s="11"/>
      <c r="I77" s="34">
        <f>0.001*10^-6</f>
        <v>1.0000000000000001E-9</v>
      </c>
      <c r="J77" s="11" t="s">
        <v>258</v>
      </c>
      <c r="K77" s="11"/>
    </row>
    <row r="78" spans="1:13">
      <c r="A78" s="22" t="s">
        <v>236</v>
      </c>
      <c r="B78" s="11" t="s">
        <v>297</v>
      </c>
      <c r="C78" s="15"/>
      <c r="D78" s="11"/>
      <c r="E78" s="11"/>
      <c r="F78" s="11"/>
      <c r="G78" s="1"/>
      <c r="H78" s="1"/>
    </row>
    <row r="80" spans="1:13">
      <c r="A80" s="61" t="s">
        <v>151</v>
      </c>
      <c r="B80" s="4" t="s">
        <v>1</v>
      </c>
      <c r="C80" s="4" t="s">
        <v>2</v>
      </c>
      <c r="D80" s="44" t="s">
        <v>74</v>
      </c>
      <c r="E80" s="6" t="s">
        <v>196</v>
      </c>
      <c r="F80" s="6" t="s">
        <v>15</v>
      </c>
      <c r="G80" s="42" t="s">
        <v>235</v>
      </c>
    </row>
    <row r="81" spans="1:12">
      <c r="A81" s="120" t="s">
        <v>219</v>
      </c>
      <c r="B81" s="116" t="s">
        <v>366</v>
      </c>
      <c r="C81" s="27">
        <v>1</v>
      </c>
      <c r="D81" s="28">
        <v>0.34</v>
      </c>
      <c r="E81" s="29">
        <f>C81*F81</f>
        <v>1.0000000000000001E-9</v>
      </c>
      <c r="F81" s="30">
        <f>0.001*10^-6</f>
        <v>1.0000000000000001E-9</v>
      </c>
      <c r="G81" s="28">
        <v>33</v>
      </c>
    </row>
    <row r="82" spans="1:12">
      <c r="A82" s="120" t="s">
        <v>220</v>
      </c>
      <c r="B82" s="116" t="s">
        <v>366</v>
      </c>
      <c r="C82" s="27">
        <v>1</v>
      </c>
      <c r="D82" s="28">
        <v>0.34</v>
      </c>
      <c r="E82" s="29">
        <f>C82*F82</f>
        <v>1.0000000000000001E-9</v>
      </c>
      <c r="F82" s="30">
        <f>0.001*10^-6</f>
        <v>1.0000000000000001E-9</v>
      </c>
      <c r="G82" s="28">
        <v>33</v>
      </c>
    </row>
    <row r="83" spans="1:12" ht="15" thickBot="1"/>
    <row r="84" spans="1:12" ht="15" thickBot="1">
      <c r="D84" s="128" t="s">
        <v>75</v>
      </c>
      <c r="E84" s="54">
        <f>SUM(E81:E82)</f>
        <v>2.0000000000000001E-9</v>
      </c>
    </row>
    <row r="87" spans="1:12">
      <c r="A87" s="25" t="s">
        <v>233</v>
      </c>
      <c r="B87" s="25"/>
      <c r="C87" s="25"/>
      <c r="D87" s="25"/>
      <c r="E87" s="25"/>
      <c r="F87" s="11"/>
      <c r="G87" s="25"/>
      <c r="H87" s="1"/>
      <c r="I87" s="1"/>
    </row>
    <row r="88" spans="1:12">
      <c r="A88" s="11" t="s">
        <v>400</v>
      </c>
      <c r="B88" s="11"/>
      <c r="C88" s="11"/>
      <c r="D88" s="11"/>
      <c r="E88" s="11"/>
      <c r="F88" s="11"/>
      <c r="G88" s="11"/>
      <c r="H88" s="11"/>
      <c r="I88" s="11"/>
      <c r="J88" s="11"/>
      <c r="K88" s="12"/>
      <c r="L88" s="12"/>
    </row>
    <row r="90" spans="1:12">
      <c r="A90" s="7" t="s">
        <v>15</v>
      </c>
      <c r="B90" s="11" t="s">
        <v>239</v>
      </c>
      <c r="C90" s="15"/>
      <c r="E90" s="11"/>
      <c r="F90" s="11"/>
      <c r="H90" s="1"/>
      <c r="I90" s="34">
        <f>0.001*10^-6</f>
        <v>1.0000000000000001E-9</v>
      </c>
      <c r="J90" s="11" t="s">
        <v>399</v>
      </c>
    </row>
    <row r="91" spans="1:12">
      <c r="A91" s="22" t="s">
        <v>236</v>
      </c>
      <c r="B91" s="11" t="s">
        <v>297</v>
      </c>
      <c r="C91" s="26"/>
      <c r="D91" s="11"/>
      <c r="E91" s="11"/>
      <c r="F91" s="11"/>
      <c r="G91" s="1"/>
      <c r="H91" s="1"/>
      <c r="I91" s="1"/>
      <c r="J91" s="1"/>
    </row>
    <row r="92" spans="1:12">
      <c r="C92" s="12"/>
      <c r="D92" s="12"/>
      <c r="E92" s="12"/>
      <c r="F92" s="12"/>
      <c r="G92" s="12"/>
      <c r="H92" s="12"/>
      <c r="I92" s="12"/>
      <c r="J92" s="12"/>
    </row>
    <row r="93" spans="1:12">
      <c r="A93" s="61" t="s">
        <v>151</v>
      </c>
      <c r="B93" s="4" t="s">
        <v>1</v>
      </c>
      <c r="C93" s="4" t="s">
        <v>2</v>
      </c>
      <c r="D93" s="44" t="s">
        <v>74</v>
      </c>
      <c r="E93" s="6" t="s">
        <v>196</v>
      </c>
      <c r="F93" s="6" t="s">
        <v>15</v>
      </c>
      <c r="G93" s="42" t="s">
        <v>235</v>
      </c>
    </row>
    <row r="94" spans="1:12">
      <c r="A94" s="62" t="s">
        <v>261</v>
      </c>
      <c r="B94" s="45" t="s">
        <v>367</v>
      </c>
      <c r="C94" s="27">
        <v>1</v>
      </c>
      <c r="D94" s="40">
        <v>0.54</v>
      </c>
      <c r="E94" s="39">
        <f>C94*F94</f>
        <v>1.0000000000000001E-9</v>
      </c>
      <c r="F94" s="20">
        <f>0.001*10^-6</f>
        <v>1.0000000000000001E-9</v>
      </c>
      <c r="G94" s="24">
        <v>35</v>
      </c>
    </row>
    <row r="95" spans="1:12">
      <c r="A95" s="62" t="s">
        <v>222</v>
      </c>
      <c r="B95" s="45" t="s">
        <v>367</v>
      </c>
      <c r="C95" s="27">
        <v>1</v>
      </c>
      <c r="D95" s="40">
        <v>0.54</v>
      </c>
      <c r="E95" s="39">
        <f>C95*F95</f>
        <v>1.0000000000000001E-9</v>
      </c>
      <c r="F95" s="20">
        <f>0.001*10^-6</f>
        <v>1.0000000000000001E-9</v>
      </c>
      <c r="G95" s="24">
        <v>35</v>
      </c>
    </row>
    <row r="96" spans="1:12">
      <c r="A96" s="62" t="s">
        <v>263</v>
      </c>
      <c r="B96" s="45" t="s">
        <v>367</v>
      </c>
      <c r="C96" s="27">
        <v>1</v>
      </c>
      <c r="D96" s="40">
        <v>0.38</v>
      </c>
      <c r="E96" s="39">
        <f>C96*F96</f>
        <v>1.0000000000000001E-9</v>
      </c>
      <c r="F96" s="20">
        <f>0.001*10^-6</f>
        <v>1.0000000000000001E-9</v>
      </c>
      <c r="G96" s="24">
        <v>35</v>
      </c>
    </row>
    <row r="97" spans="1:18">
      <c r="A97" s="62" t="s">
        <v>264</v>
      </c>
      <c r="B97" s="45" t="s">
        <v>367</v>
      </c>
      <c r="C97" s="27">
        <v>1</v>
      </c>
      <c r="D97" s="40">
        <v>0.38</v>
      </c>
      <c r="E97" s="39">
        <f>C97*F97</f>
        <v>1.0000000000000001E-9</v>
      </c>
      <c r="F97" s="20">
        <f>0.001*10^-6</f>
        <v>1.0000000000000001E-9</v>
      </c>
      <c r="G97" s="24">
        <v>35</v>
      </c>
    </row>
    <row r="98" spans="1:18" ht="15" thickBot="1"/>
    <row r="99" spans="1:18" ht="15" thickBot="1">
      <c r="D99" s="128" t="s">
        <v>75</v>
      </c>
      <c r="E99" s="54">
        <f>SUM(E94:E97)</f>
        <v>4.0000000000000002E-9</v>
      </c>
    </row>
    <row r="100" spans="1:18">
      <c r="D100" s="35"/>
    </row>
    <row r="103" spans="1:18">
      <c r="A103" s="146" t="s">
        <v>48</v>
      </c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</row>
    <row r="104" spans="1:18">
      <c r="A104" s="34" t="s">
        <v>49</v>
      </c>
      <c r="B104" s="34"/>
      <c r="C104" s="34"/>
      <c r="D104" s="34"/>
      <c r="E104" s="34"/>
    </row>
    <row r="105" spans="1:18">
      <c r="A105" s="11" t="s">
        <v>487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</row>
    <row r="106" spans="1:18">
      <c r="A106" s="11"/>
      <c r="B106" s="11"/>
      <c r="C106" s="11"/>
      <c r="D106" s="11"/>
      <c r="E106" s="11"/>
      <c r="F106" s="11"/>
      <c r="N106" s="12"/>
    </row>
    <row r="107" spans="1:18">
      <c r="G107" s="11" t="s">
        <v>403</v>
      </c>
      <c r="H107" s="34">
        <v>1E-8</v>
      </c>
      <c r="I107" s="11" t="s">
        <v>486</v>
      </c>
    </row>
    <row r="108" spans="1:18">
      <c r="A108" s="7" t="s">
        <v>15</v>
      </c>
      <c r="B108" s="11" t="s">
        <v>239</v>
      </c>
      <c r="C108" s="26"/>
      <c r="D108" s="11"/>
      <c r="E108" s="11"/>
      <c r="F108" s="11"/>
      <c r="G108" s="11" t="s">
        <v>268</v>
      </c>
      <c r="H108" s="34">
        <v>2E-8</v>
      </c>
      <c r="I108" s="11" t="s">
        <v>485</v>
      </c>
      <c r="L108" s="12"/>
      <c r="P108" s="12"/>
      <c r="Q108" s="12"/>
      <c r="R108" s="12"/>
    </row>
    <row r="109" spans="1:18">
      <c r="A109" s="22" t="s">
        <v>236</v>
      </c>
      <c r="B109" s="11" t="s">
        <v>297</v>
      </c>
      <c r="C109" s="12"/>
      <c r="D109" s="12"/>
      <c r="E109" s="12"/>
      <c r="F109" s="12"/>
      <c r="P109" s="12"/>
      <c r="Q109" s="12"/>
    </row>
    <row r="111" spans="1:18">
      <c r="A111" s="61" t="s">
        <v>151</v>
      </c>
      <c r="B111" s="4" t="s">
        <v>1</v>
      </c>
      <c r="C111" s="4" t="s">
        <v>2</v>
      </c>
      <c r="D111" s="5" t="s">
        <v>8</v>
      </c>
      <c r="E111" s="46" t="s">
        <v>79</v>
      </c>
      <c r="F111" s="41" t="s">
        <v>57</v>
      </c>
      <c r="G111" s="6" t="s">
        <v>196</v>
      </c>
      <c r="H111" s="6" t="s">
        <v>15</v>
      </c>
      <c r="I111" s="42" t="s">
        <v>235</v>
      </c>
    </row>
    <row r="112" spans="1:18">
      <c r="A112" s="62" t="s">
        <v>163</v>
      </c>
      <c r="B112" s="31" t="s">
        <v>402</v>
      </c>
      <c r="C112" s="27">
        <v>1</v>
      </c>
      <c r="D112" s="28">
        <v>6.2</v>
      </c>
      <c r="E112" s="28">
        <v>200</v>
      </c>
      <c r="F112" s="28" t="s">
        <v>125</v>
      </c>
      <c r="G112" s="29">
        <f>C112*H112</f>
        <v>1E-8</v>
      </c>
      <c r="H112" s="30">
        <f>0.01*10^-6</f>
        <v>1E-8</v>
      </c>
      <c r="I112" s="24">
        <v>30</v>
      </c>
    </row>
    <row r="113" spans="1:17">
      <c r="A113" s="62" t="s">
        <v>248</v>
      </c>
      <c r="B113" s="32" t="s">
        <v>78</v>
      </c>
      <c r="C113" s="27">
        <v>1</v>
      </c>
      <c r="D113" s="28">
        <v>12</v>
      </c>
      <c r="E113" s="28">
        <v>200</v>
      </c>
      <c r="F113" s="28" t="s">
        <v>58</v>
      </c>
      <c r="G113" s="29">
        <f>H113*C113</f>
        <v>2E-8</v>
      </c>
      <c r="H113" s="30">
        <f>H108</f>
        <v>2E-8</v>
      </c>
      <c r="I113" s="24">
        <v>35</v>
      </c>
    </row>
    <row r="114" spans="1:17" ht="15" thickBot="1"/>
    <row r="115" spans="1:17" ht="15" thickBot="1">
      <c r="F115" s="35" t="s">
        <v>75</v>
      </c>
      <c r="G115" s="36">
        <f>SUM(G112:G113)</f>
        <v>3.0000000000000004E-8</v>
      </c>
      <c r="Q115" s="60"/>
    </row>
    <row r="116" spans="1:17">
      <c r="F116" s="35"/>
      <c r="Q116" s="60"/>
    </row>
    <row r="117" spans="1:17">
      <c r="F117" s="35"/>
      <c r="Q117" s="60"/>
    </row>
    <row r="118" spans="1:17">
      <c r="F118" s="35"/>
      <c r="Q118" s="60"/>
    </row>
    <row r="119" spans="1:17">
      <c r="A119" s="11" t="s">
        <v>246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Q119" s="60"/>
    </row>
    <row r="120" spans="1:17">
      <c r="Q120" s="60"/>
    </row>
    <row r="121" spans="1:17">
      <c r="A121" s="7" t="s">
        <v>16</v>
      </c>
      <c r="B121" s="11" t="s">
        <v>37</v>
      </c>
      <c r="C121" s="15"/>
      <c r="E121" s="11"/>
      <c r="F121" s="11"/>
      <c r="G121" s="11"/>
      <c r="H121" s="1"/>
      <c r="I121" s="34">
        <f>0.028*10^-6</f>
        <v>2.7999999999999999E-8</v>
      </c>
      <c r="J121" s="56" t="s">
        <v>112</v>
      </c>
      <c r="K121" s="11"/>
      <c r="L121" s="12"/>
      <c r="M121" s="12"/>
      <c r="N121" s="12"/>
      <c r="O121" s="12"/>
      <c r="Q121" s="60"/>
    </row>
    <row r="122" spans="1:17">
      <c r="A122" s="22" t="s">
        <v>50</v>
      </c>
      <c r="B122" s="11" t="s">
        <v>51</v>
      </c>
      <c r="C122" s="26"/>
      <c r="D122" s="11"/>
      <c r="E122" s="11"/>
      <c r="F122" s="11"/>
      <c r="G122" s="1"/>
      <c r="H122" s="1"/>
      <c r="I122" s="1"/>
      <c r="Q122" s="60"/>
    </row>
    <row r="123" spans="1:17">
      <c r="A123" s="22" t="s">
        <v>6</v>
      </c>
      <c r="B123" s="11" t="s">
        <v>32</v>
      </c>
      <c r="C123" s="12"/>
      <c r="D123" s="12"/>
      <c r="E123" s="12"/>
      <c r="F123" s="12"/>
      <c r="I123" s="1"/>
      <c r="Q123" s="60"/>
    </row>
    <row r="124" spans="1:17">
      <c r="A124" s="22" t="s">
        <v>9</v>
      </c>
      <c r="B124" s="11" t="s">
        <v>53</v>
      </c>
      <c r="C124" s="12"/>
      <c r="D124" s="11"/>
      <c r="E124" s="11"/>
      <c r="F124" s="11"/>
      <c r="G124" s="1"/>
      <c r="H124" s="1"/>
      <c r="I124" s="1"/>
      <c r="Q124" s="60"/>
    </row>
    <row r="125" spans="1:17">
      <c r="A125" s="23" t="s">
        <v>54</v>
      </c>
      <c r="B125" s="11" t="s">
        <v>55</v>
      </c>
      <c r="C125" s="11"/>
      <c r="D125" s="1"/>
      <c r="E125" s="1"/>
      <c r="F125" s="1"/>
      <c r="G125" s="1"/>
      <c r="H125" s="1"/>
      <c r="I125" s="1"/>
      <c r="Q125" s="60"/>
    </row>
    <row r="126" spans="1:17">
      <c r="A126" s="22" t="s">
        <v>31</v>
      </c>
      <c r="B126" s="11" t="s">
        <v>33</v>
      </c>
      <c r="C126" s="12"/>
      <c r="D126" s="12"/>
      <c r="E126" s="12"/>
      <c r="F126" s="12"/>
      <c r="G126" s="12"/>
      <c r="H126" s="12"/>
      <c r="I126" s="12"/>
      <c r="J126" s="12"/>
      <c r="Q126" s="60"/>
    </row>
    <row r="127" spans="1:17">
      <c r="A127" s="22" t="s">
        <v>7</v>
      </c>
      <c r="B127" s="11" t="s">
        <v>52</v>
      </c>
      <c r="F127" s="1"/>
      <c r="G127" s="1"/>
      <c r="H127" s="1"/>
      <c r="I127" s="1"/>
      <c r="J127" s="1"/>
      <c r="K127" s="3"/>
      <c r="Q127" s="60"/>
    </row>
    <row r="128" spans="1:17">
      <c r="A128" s="22" t="s">
        <v>24</v>
      </c>
      <c r="B128" s="11" t="s">
        <v>35</v>
      </c>
      <c r="C128" s="12"/>
      <c r="D128" s="12"/>
      <c r="Q128" s="60"/>
    </row>
    <row r="129" spans="1:17">
      <c r="A129" s="22" t="s">
        <v>236</v>
      </c>
      <c r="B129" s="11" t="s">
        <v>297</v>
      </c>
      <c r="Q129" s="60"/>
    </row>
    <row r="130" spans="1:17">
      <c r="Q130" s="60"/>
    </row>
    <row r="131" spans="1:17">
      <c r="A131" s="61" t="s">
        <v>151</v>
      </c>
      <c r="B131" s="4" t="s">
        <v>1</v>
      </c>
      <c r="C131" s="4" t="s">
        <v>2</v>
      </c>
      <c r="D131" s="5" t="s">
        <v>8</v>
      </c>
      <c r="E131" s="72" t="s">
        <v>79</v>
      </c>
      <c r="F131" s="41" t="s">
        <v>57</v>
      </c>
      <c r="G131" s="6" t="s">
        <v>196</v>
      </c>
      <c r="H131" s="6" t="s">
        <v>15</v>
      </c>
      <c r="I131" s="6" t="s">
        <v>16</v>
      </c>
      <c r="J131" s="4" t="s">
        <v>50</v>
      </c>
      <c r="K131" s="4" t="s">
        <v>9</v>
      </c>
      <c r="L131" s="4" t="s">
        <v>10</v>
      </c>
      <c r="M131" s="4" t="s">
        <v>7</v>
      </c>
      <c r="N131" s="4" t="s">
        <v>6</v>
      </c>
      <c r="O131" s="4" t="s">
        <v>24</v>
      </c>
      <c r="P131" s="17" t="s">
        <v>235</v>
      </c>
      <c r="Q131" s="60"/>
    </row>
    <row r="132" spans="1:17">
      <c r="A132" s="62" t="s">
        <v>267</v>
      </c>
      <c r="B132" s="31" t="s">
        <v>97</v>
      </c>
      <c r="C132" s="27">
        <v>1</v>
      </c>
      <c r="D132" s="28">
        <v>8.5</v>
      </c>
      <c r="E132" s="28">
        <v>200</v>
      </c>
      <c r="F132" s="28" t="s">
        <v>58</v>
      </c>
      <c r="G132" s="83">
        <f>C132*H132</f>
        <v>3.5391999999999997E-8</v>
      </c>
      <c r="H132" s="30">
        <f>I132*J132*K132*L132*M132*N132*O132</f>
        <v>3.5391999999999997E-8</v>
      </c>
      <c r="I132" s="40">
        <f>0.028*10^-6</f>
        <v>2.7999999999999999E-8</v>
      </c>
      <c r="J132" s="24">
        <v>1.58</v>
      </c>
      <c r="K132" s="24">
        <f>1</f>
        <v>1</v>
      </c>
      <c r="L132" s="24">
        <f>1</f>
        <v>1</v>
      </c>
      <c r="M132" s="24">
        <v>1</v>
      </c>
      <c r="N132" s="24">
        <v>4</v>
      </c>
      <c r="O132" s="28">
        <v>0.2</v>
      </c>
      <c r="P132" s="28">
        <v>30</v>
      </c>
      <c r="Q132" s="60"/>
    </row>
    <row r="133" spans="1:17">
      <c r="A133" s="62" t="s">
        <v>266</v>
      </c>
      <c r="B133" s="31" t="s">
        <v>98</v>
      </c>
      <c r="C133" s="27">
        <v>1</v>
      </c>
      <c r="D133" s="28">
        <v>8.5</v>
      </c>
      <c r="E133" s="28">
        <v>200</v>
      </c>
      <c r="F133" s="28" t="s">
        <v>58</v>
      </c>
      <c r="G133" s="83">
        <f>C133*H133</f>
        <v>3.5391999999999997E-8</v>
      </c>
      <c r="H133" s="30">
        <f>I133*J133*K133*L133*M133*N133*O133</f>
        <v>3.5391999999999997E-8</v>
      </c>
      <c r="I133" s="28">
        <f>0.028*10^-6</f>
        <v>2.7999999999999999E-8</v>
      </c>
      <c r="J133" s="24">
        <v>1.58</v>
      </c>
      <c r="K133" s="24">
        <f>1</f>
        <v>1</v>
      </c>
      <c r="L133" s="24">
        <f>1</f>
        <v>1</v>
      </c>
      <c r="M133" s="24">
        <v>1</v>
      </c>
      <c r="N133" s="24">
        <v>4</v>
      </c>
      <c r="O133" s="28">
        <v>0.2</v>
      </c>
      <c r="P133" s="28">
        <v>30</v>
      </c>
      <c r="Q133" s="60"/>
    </row>
    <row r="134" spans="1:17" ht="15" thickBot="1">
      <c r="F134" s="35"/>
      <c r="Q134" s="60"/>
    </row>
    <row r="135" spans="1:17" ht="15" thickBot="1">
      <c r="F135" s="128" t="s">
        <v>75</v>
      </c>
      <c r="G135" s="87">
        <f>SUM(G132:G133)</f>
        <v>7.0783999999999994E-8</v>
      </c>
      <c r="Q135" s="60"/>
    </row>
    <row r="136" spans="1:17">
      <c r="F136" s="35"/>
      <c r="Q136" s="60"/>
    </row>
    <row r="137" spans="1:17">
      <c r="F137" s="35"/>
      <c r="Q137" s="60"/>
    </row>
    <row r="138" spans="1:17">
      <c r="A138" s="34" t="s">
        <v>49</v>
      </c>
      <c r="B138" s="34"/>
      <c r="C138" s="34"/>
      <c r="D138" s="34"/>
      <c r="E138" s="34"/>
      <c r="Q138" s="60"/>
    </row>
    <row r="139" spans="1:17">
      <c r="A139" s="11" t="s">
        <v>247</v>
      </c>
      <c r="B139" s="34"/>
      <c r="C139" s="11"/>
      <c r="D139" s="11"/>
      <c r="E139" s="11"/>
      <c r="F139" s="11"/>
      <c r="G139" s="11"/>
      <c r="H139" s="11"/>
      <c r="I139" s="11"/>
      <c r="J139" s="11"/>
      <c r="Q139" s="60"/>
    </row>
    <row r="140" spans="1:17">
      <c r="A140" s="11"/>
      <c r="B140" s="34"/>
      <c r="C140" s="11"/>
      <c r="D140" s="11"/>
      <c r="E140" s="11"/>
      <c r="F140" s="11"/>
      <c r="G140" s="11"/>
      <c r="H140" s="11"/>
      <c r="I140" s="11"/>
      <c r="J140" s="11"/>
      <c r="Q140" s="60"/>
    </row>
    <row r="141" spans="1:17">
      <c r="B141" s="11"/>
      <c r="I141" s="11" t="s">
        <v>421</v>
      </c>
      <c r="J141" s="94">
        <v>1E-8</v>
      </c>
      <c r="K141" s="11" t="s">
        <v>443</v>
      </c>
      <c r="Q141" s="60"/>
    </row>
    <row r="142" spans="1:17">
      <c r="A142" s="7" t="s">
        <v>15</v>
      </c>
      <c r="B142" s="11" t="s">
        <v>239</v>
      </c>
      <c r="C142" s="15"/>
      <c r="E142" s="11"/>
      <c r="F142" s="11"/>
      <c r="G142" s="11"/>
      <c r="H142" s="1"/>
      <c r="Q142" s="60"/>
    </row>
    <row r="143" spans="1:17">
      <c r="A143" s="22" t="s">
        <v>236</v>
      </c>
      <c r="B143" s="11" t="s">
        <v>297</v>
      </c>
      <c r="C143" s="26"/>
      <c r="D143" s="11"/>
      <c r="E143" s="11"/>
      <c r="F143" s="11"/>
      <c r="G143" s="1"/>
      <c r="H143" s="1"/>
      <c r="J143" s="11"/>
      <c r="Q143" s="60"/>
    </row>
    <row r="144" spans="1:17">
      <c r="Q144" s="60"/>
    </row>
    <row r="145" spans="1:17" ht="25">
      <c r="A145" s="61" t="s">
        <v>151</v>
      </c>
      <c r="B145" s="4" t="s">
        <v>1</v>
      </c>
      <c r="C145" s="4" t="s">
        <v>2</v>
      </c>
      <c r="D145" s="118" t="s">
        <v>8</v>
      </c>
      <c r="E145" s="119" t="s">
        <v>79</v>
      </c>
      <c r="F145" s="5" t="s">
        <v>57</v>
      </c>
      <c r="G145" s="6" t="s">
        <v>196</v>
      </c>
      <c r="H145" s="6" t="s">
        <v>15</v>
      </c>
      <c r="I145" s="4" t="s">
        <v>235</v>
      </c>
      <c r="Q145" s="60"/>
    </row>
    <row r="146" spans="1:17">
      <c r="A146" s="120" t="s">
        <v>419</v>
      </c>
      <c r="B146" s="31" t="s">
        <v>420</v>
      </c>
      <c r="C146" s="27">
        <v>1</v>
      </c>
      <c r="D146" s="28">
        <v>5.2</v>
      </c>
      <c r="E146" s="28">
        <v>200</v>
      </c>
      <c r="F146" s="28" t="s">
        <v>59</v>
      </c>
      <c r="G146" s="29">
        <f>C146*H146</f>
        <v>1E-8</v>
      </c>
      <c r="H146" s="28">
        <f>0.01*10^-6</f>
        <v>1E-8</v>
      </c>
      <c r="I146" s="28">
        <v>30</v>
      </c>
      <c r="Q146" s="60"/>
    </row>
    <row r="147" spans="1:17">
      <c r="Q147" s="60"/>
    </row>
    <row r="148" spans="1:17" ht="15" thickBot="1">
      <c r="Q148" s="60"/>
    </row>
    <row r="149" spans="1:17" ht="15" thickBot="1">
      <c r="F149" s="35" t="s">
        <v>75</v>
      </c>
      <c r="G149" s="121">
        <f>SUM(G146)</f>
        <v>1E-8</v>
      </c>
      <c r="Q149" s="60"/>
    </row>
    <row r="150" spans="1:17">
      <c r="F150" s="35"/>
      <c r="Q150" s="60"/>
    </row>
    <row r="152" spans="1:17">
      <c r="A152" s="145" t="s">
        <v>90</v>
      </c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</row>
    <row r="153" spans="1:17">
      <c r="A153" s="34" t="s">
        <v>88</v>
      </c>
      <c r="B153" s="34"/>
      <c r="C153" s="34"/>
      <c r="D153" s="34"/>
      <c r="E153" s="34"/>
    </row>
    <row r="154" spans="1:17">
      <c r="A154" s="11" t="s">
        <v>404</v>
      </c>
      <c r="B154" s="11"/>
      <c r="C154" s="11"/>
      <c r="D154" s="11"/>
      <c r="E154" s="11"/>
      <c r="F154" s="11"/>
      <c r="G154" s="11"/>
      <c r="H154" s="11"/>
      <c r="I154" s="11"/>
      <c r="J154" s="11"/>
    </row>
    <row r="156" spans="1:17">
      <c r="A156" s="7" t="s">
        <v>15</v>
      </c>
      <c r="B156" s="11" t="s">
        <v>239</v>
      </c>
      <c r="C156" s="15"/>
      <c r="F156" s="11"/>
      <c r="I156" s="34">
        <f>0.1*10^-9</f>
        <v>1.0000000000000002E-10</v>
      </c>
      <c r="J156" s="11" t="s">
        <v>405</v>
      </c>
    </row>
    <row r="157" spans="1:17">
      <c r="A157" s="22" t="s">
        <v>236</v>
      </c>
      <c r="B157" s="11" t="s">
        <v>297</v>
      </c>
      <c r="C157" s="15"/>
      <c r="D157" s="11"/>
      <c r="E157" s="11"/>
      <c r="F157" s="11"/>
      <c r="G157" s="1"/>
      <c r="H157" s="1"/>
    </row>
    <row r="159" spans="1:17">
      <c r="A159" s="61" t="s">
        <v>151</v>
      </c>
      <c r="B159" s="4" t="s">
        <v>1</v>
      </c>
      <c r="C159" s="4" t="s">
        <v>2</v>
      </c>
      <c r="D159" s="44" t="s">
        <v>80</v>
      </c>
      <c r="E159" s="6" t="s">
        <v>196</v>
      </c>
      <c r="F159" s="6" t="s">
        <v>15</v>
      </c>
      <c r="G159" s="17" t="s">
        <v>235</v>
      </c>
    </row>
    <row r="160" spans="1:17">
      <c r="A160" s="120" t="s">
        <v>269</v>
      </c>
      <c r="B160" s="31" t="s">
        <v>406</v>
      </c>
      <c r="C160" s="27">
        <v>1</v>
      </c>
      <c r="D160" s="28">
        <v>0.56999999999999995</v>
      </c>
      <c r="E160" s="29">
        <f>C160*F160</f>
        <v>1E-10</v>
      </c>
      <c r="F160" s="30">
        <f>0.0001*10^-6</f>
        <v>1E-10</v>
      </c>
      <c r="G160" s="28">
        <v>35</v>
      </c>
    </row>
    <row r="161" spans="1:14">
      <c r="A161" s="120" t="s">
        <v>270</v>
      </c>
      <c r="B161" s="31" t="s">
        <v>406</v>
      </c>
      <c r="C161" s="27">
        <v>1</v>
      </c>
      <c r="D161" s="28">
        <v>0.56999999999999995</v>
      </c>
      <c r="E161" s="29">
        <f>C161*F161</f>
        <v>1E-10</v>
      </c>
      <c r="F161" s="30">
        <f>0.0001*10^-6</f>
        <v>1E-10</v>
      </c>
      <c r="G161" s="28">
        <v>35</v>
      </c>
    </row>
    <row r="162" spans="1:14">
      <c r="A162" s="120" t="s">
        <v>272</v>
      </c>
      <c r="B162" s="31" t="s">
        <v>407</v>
      </c>
      <c r="C162" s="27">
        <v>1</v>
      </c>
      <c r="D162" s="28">
        <v>0.45</v>
      </c>
      <c r="E162" s="29">
        <f>C162*F162</f>
        <v>1E-10</v>
      </c>
      <c r="F162" s="30">
        <f>0.0001*10^-6</f>
        <v>1E-10</v>
      </c>
      <c r="G162" s="28">
        <v>36</v>
      </c>
    </row>
    <row r="163" spans="1:14" ht="15" thickBot="1"/>
    <row r="164" spans="1:14" ht="15" thickBot="1">
      <c r="D164" s="128" t="s">
        <v>75</v>
      </c>
      <c r="E164" s="36">
        <f>SUM(E160:E162)</f>
        <v>3E-10</v>
      </c>
    </row>
    <row r="165" spans="1:14">
      <c r="A165" s="34"/>
      <c r="B165" s="34"/>
      <c r="C165" s="34"/>
      <c r="D165" s="34"/>
      <c r="E165" s="34"/>
    </row>
    <row r="166" spans="1:14">
      <c r="A166" s="34"/>
      <c r="B166" s="34"/>
      <c r="C166" s="34"/>
      <c r="D166" s="34"/>
      <c r="E166" s="34"/>
    </row>
    <row r="167" spans="1:14">
      <c r="A167" s="11" t="s">
        <v>408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</row>
    <row r="169" spans="1:14">
      <c r="A169" s="7" t="s">
        <v>16</v>
      </c>
      <c r="B169" s="11" t="s">
        <v>37</v>
      </c>
      <c r="C169" s="15"/>
      <c r="E169" s="11"/>
      <c r="F169" s="11"/>
      <c r="G169" s="11"/>
      <c r="H169" s="1"/>
      <c r="I169" s="34">
        <f>0.0022*10^-6</f>
        <v>2.1999999999999998E-9</v>
      </c>
      <c r="J169" s="11" t="s">
        <v>115</v>
      </c>
      <c r="K169" s="1"/>
    </row>
    <row r="170" spans="1:14">
      <c r="A170" s="22" t="s">
        <v>13</v>
      </c>
      <c r="B170" s="11" t="s">
        <v>89</v>
      </c>
      <c r="C170" s="26"/>
      <c r="D170" s="11"/>
      <c r="E170" s="11"/>
      <c r="F170" s="11"/>
      <c r="G170" s="1"/>
      <c r="H170" s="1"/>
      <c r="I170" s="1"/>
      <c r="J170" s="1"/>
      <c r="K170" s="1"/>
    </row>
    <row r="171" spans="1:14">
      <c r="A171" s="22" t="s">
        <v>6</v>
      </c>
      <c r="B171" s="11" t="s">
        <v>32</v>
      </c>
      <c r="C171" s="12"/>
      <c r="D171" s="12"/>
      <c r="E171" s="12"/>
      <c r="F171" s="12"/>
      <c r="I171" s="1"/>
      <c r="J171" s="1"/>
      <c r="K171" s="1"/>
    </row>
    <row r="172" spans="1:14">
      <c r="A172" s="22" t="s">
        <v>31</v>
      </c>
      <c r="B172" s="11" t="s">
        <v>33</v>
      </c>
      <c r="C172" s="12"/>
      <c r="D172" s="12"/>
      <c r="E172" s="12"/>
      <c r="F172" s="12"/>
      <c r="G172" s="12"/>
      <c r="H172" s="12"/>
      <c r="I172" s="12"/>
      <c r="J172" s="12"/>
      <c r="K172" s="3"/>
    </row>
    <row r="173" spans="1:14">
      <c r="A173" s="22" t="s">
        <v>7</v>
      </c>
      <c r="B173" s="11" t="s">
        <v>52</v>
      </c>
      <c r="F173" s="1"/>
      <c r="G173" s="1"/>
      <c r="H173" s="1"/>
      <c r="I173" s="1"/>
      <c r="J173" s="1"/>
    </row>
    <row r="174" spans="1:14">
      <c r="A174" s="22" t="s">
        <v>24</v>
      </c>
      <c r="B174" s="11" t="s">
        <v>35</v>
      </c>
      <c r="C174" s="12"/>
      <c r="D174" s="12"/>
      <c r="K174" s="12"/>
    </row>
    <row r="175" spans="1:14">
      <c r="A175" s="22" t="s">
        <v>236</v>
      </c>
      <c r="B175" s="11" t="s">
        <v>297</v>
      </c>
      <c r="C175" s="12"/>
      <c r="D175" s="12"/>
      <c r="K175" s="12"/>
    </row>
    <row r="176" spans="1:14">
      <c r="K176" s="3"/>
    </row>
    <row r="177" spans="1:14">
      <c r="A177" s="61" t="s">
        <v>151</v>
      </c>
      <c r="B177" s="4" t="s">
        <v>1</v>
      </c>
      <c r="C177" s="4" t="s">
        <v>2</v>
      </c>
      <c r="D177" s="44" t="s">
        <v>80</v>
      </c>
      <c r="E177" s="6" t="s">
        <v>196</v>
      </c>
      <c r="F177" s="6" t="s">
        <v>15</v>
      </c>
      <c r="G177" s="6" t="s">
        <v>16</v>
      </c>
      <c r="H177" s="4" t="s">
        <v>13</v>
      </c>
      <c r="I177" s="4" t="s">
        <v>7</v>
      </c>
      <c r="J177" s="4" t="s">
        <v>6</v>
      </c>
      <c r="K177" s="4" t="s">
        <v>24</v>
      </c>
      <c r="L177" s="4" t="s">
        <v>235</v>
      </c>
    </row>
    <row r="178" spans="1:14">
      <c r="A178" s="62" t="s">
        <v>271</v>
      </c>
      <c r="B178" s="31" t="s">
        <v>409</v>
      </c>
      <c r="C178" s="27">
        <v>1</v>
      </c>
      <c r="D178" s="28">
        <v>0.5</v>
      </c>
      <c r="E178" s="83">
        <f t="shared" ref="E178" si="14">C178*F178</f>
        <v>8.272E-10</v>
      </c>
      <c r="F178" s="30">
        <f t="shared" ref="F178" si="15">G178*H178*I178*J178*K178</f>
        <v>8.272E-10</v>
      </c>
      <c r="G178" s="28">
        <f t="shared" ref="G178" si="16">0.0022*10^-6</f>
        <v>2.1999999999999998E-9</v>
      </c>
      <c r="H178" s="24">
        <v>0.47</v>
      </c>
      <c r="I178" s="24">
        <f>1</f>
        <v>1</v>
      </c>
      <c r="J178" s="24">
        <v>4</v>
      </c>
      <c r="K178" s="28">
        <v>0.2</v>
      </c>
      <c r="L178" s="24">
        <v>35</v>
      </c>
    </row>
    <row r="179" spans="1:14" ht="15" thickBot="1">
      <c r="E179" s="48"/>
    </row>
    <row r="180" spans="1:14" ht="15" thickBot="1">
      <c r="D180" s="128" t="s">
        <v>75</v>
      </c>
      <c r="E180" s="54">
        <f>SUM(E178)</f>
        <v>8.272E-10</v>
      </c>
    </row>
    <row r="184" spans="1:14">
      <c r="A184" s="25" t="s">
        <v>45</v>
      </c>
      <c r="B184" s="25"/>
      <c r="C184" s="25"/>
      <c r="D184" s="25"/>
      <c r="E184" s="25"/>
      <c r="F184" s="11"/>
      <c r="G184" s="25"/>
    </row>
    <row r="185" spans="1:14">
      <c r="A185" s="11" t="s">
        <v>227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</row>
    <row r="186" spans="1:14">
      <c r="A186" s="12"/>
      <c r="B186" s="11"/>
      <c r="C186" s="12"/>
      <c r="D186" s="12"/>
      <c r="E186" s="12"/>
      <c r="F186" s="12"/>
      <c r="G186" s="12"/>
      <c r="H186" s="12"/>
      <c r="I186" s="12"/>
      <c r="J186" s="12"/>
      <c r="K186" s="14"/>
      <c r="L186" s="15"/>
      <c r="M186" s="11"/>
    </row>
    <row r="187" spans="1:14">
      <c r="A187" s="7" t="s">
        <v>17</v>
      </c>
      <c r="B187" s="11" t="s">
        <v>3</v>
      </c>
      <c r="C187" s="12"/>
      <c r="G187" s="58" t="s">
        <v>122</v>
      </c>
      <c r="H187" s="34">
        <f>0.049*10^-6</f>
        <v>4.9000000000000002E-8</v>
      </c>
      <c r="I187" s="11" t="s">
        <v>123</v>
      </c>
      <c r="J187" s="11"/>
      <c r="K187" s="13"/>
      <c r="L187" s="11"/>
      <c r="M187" s="11"/>
      <c r="N187" s="11"/>
    </row>
    <row r="188" spans="1:14">
      <c r="A188" s="22" t="s">
        <v>4</v>
      </c>
      <c r="B188" s="11" t="s">
        <v>38</v>
      </c>
      <c r="C188" s="12"/>
      <c r="D188" s="12"/>
      <c r="E188" s="12"/>
      <c r="F188" s="12"/>
      <c r="G188" s="58" t="s">
        <v>124</v>
      </c>
      <c r="H188" s="34">
        <f>0.037*10^-6</f>
        <v>3.6999999999999994E-8</v>
      </c>
      <c r="I188" s="11" t="s">
        <v>123</v>
      </c>
      <c r="J188" s="11"/>
      <c r="K188" s="13"/>
      <c r="L188" s="11"/>
      <c r="M188" s="11"/>
      <c r="N188" s="11"/>
    </row>
    <row r="189" spans="1:14">
      <c r="A189" s="23" t="s">
        <v>234</v>
      </c>
      <c r="B189" s="11" t="s">
        <v>28</v>
      </c>
      <c r="C189" s="11"/>
      <c r="D189" s="12"/>
      <c r="E189" s="12"/>
      <c r="F189" s="12"/>
      <c r="G189" s="12"/>
      <c r="H189" s="12"/>
      <c r="I189" s="12"/>
      <c r="J189" s="12"/>
      <c r="K189" s="14"/>
      <c r="L189" s="15"/>
      <c r="M189" s="11"/>
    </row>
    <row r="190" spans="1:14">
      <c r="A190" s="23" t="s">
        <v>20</v>
      </c>
      <c r="B190" s="11" t="s">
        <v>29</v>
      </c>
      <c r="C190" s="11"/>
      <c r="D190" s="12"/>
      <c r="E190" s="12"/>
      <c r="F190" s="12"/>
      <c r="G190" s="12"/>
      <c r="H190" s="12"/>
      <c r="I190" s="12"/>
      <c r="J190" s="12"/>
      <c r="K190" s="14"/>
      <c r="L190" s="15"/>
      <c r="M190" s="11"/>
    </row>
    <row r="191" spans="1:14">
      <c r="A191" s="23" t="s">
        <v>21</v>
      </c>
      <c r="B191" s="11" t="s">
        <v>30</v>
      </c>
      <c r="C191" s="12"/>
      <c r="D191" s="12"/>
      <c r="E191" s="12"/>
      <c r="F191" s="12"/>
      <c r="G191" s="12"/>
      <c r="H191" s="12"/>
      <c r="I191" s="12"/>
      <c r="J191" s="12"/>
      <c r="K191" s="14"/>
      <c r="L191" s="15"/>
      <c r="M191" s="11"/>
    </row>
    <row r="192" spans="1:14">
      <c r="A192" s="22" t="s">
        <v>6</v>
      </c>
      <c r="B192" s="11" t="s">
        <v>32</v>
      </c>
      <c r="C192" s="12"/>
      <c r="D192" s="12"/>
      <c r="E192" s="12"/>
      <c r="F192" s="12"/>
      <c r="G192" s="11"/>
      <c r="H192" s="12"/>
      <c r="I192" s="12"/>
      <c r="J192" s="12"/>
      <c r="K192" s="14"/>
      <c r="L192" s="16"/>
      <c r="M192" s="12"/>
    </row>
    <row r="193" spans="1:15">
      <c r="A193" s="22" t="s">
        <v>31</v>
      </c>
      <c r="B193" s="11" t="s">
        <v>33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5">
      <c r="A194" s="22" t="s">
        <v>7</v>
      </c>
      <c r="B194" s="11" t="s">
        <v>34</v>
      </c>
      <c r="C194" s="12"/>
      <c r="D194" s="12"/>
      <c r="G194" s="12"/>
      <c r="H194" s="12"/>
      <c r="I194" s="12"/>
      <c r="J194" s="12"/>
      <c r="K194" s="12"/>
    </row>
    <row r="195" spans="1:15">
      <c r="A195" s="22" t="s">
        <v>24</v>
      </c>
      <c r="B195" s="11" t="s">
        <v>35</v>
      </c>
      <c r="C195" s="12"/>
      <c r="D195" s="12"/>
      <c r="G195" s="12"/>
      <c r="H195" s="12"/>
      <c r="I195" s="12"/>
      <c r="J195" s="12"/>
      <c r="K195" s="12"/>
    </row>
    <row r="196" spans="1:15">
      <c r="A196" s="22" t="s">
        <v>236</v>
      </c>
      <c r="B196" s="11" t="s">
        <v>297</v>
      </c>
      <c r="C196" s="12"/>
      <c r="D196" s="12"/>
      <c r="G196" s="12"/>
      <c r="H196" s="12"/>
      <c r="I196" s="12"/>
      <c r="J196" s="12"/>
      <c r="K196" s="12"/>
    </row>
    <row r="198" spans="1:15">
      <c r="A198" s="61" t="s">
        <v>151</v>
      </c>
      <c r="B198" s="65" t="s">
        <v>1</v>
      </c>
      <c r="C198" s="4" t="s">
        <v>2</v>
      </c>
      <c r="D198" s="4" t="s">
        <v>73</v>
      </c>
      <c r="E198" s="6" t="s">
        <v>196</v>
      </c>
      <c r="F198" s="6" t="s">
        <v>15</v>
      </c>
      <c r="G198" s="6" t="s">
        <v>17</v>
      </c>
      <c r="H198" s="4" t="s">
        <v>4</v>
      </c>
      <c r="I198" s="4" t="s">
        <v>234</v>
      </c>
      <c r="J198" s="4" t="s">
        <v>20</v>
      </c>
      <c r="K198" s="4" t="s">
        <v>21</v>
      </c>
      <c r="L198" s="4" t="s">
        <v>22</v>
      </c>
      <c r="M198" s="4" t="s">
        <v>23</v>
      </c>
      <c r="N198" s="123" t="s">
        <v>24</v>
      </c>
      <c r="O198" s="4" t="s">
        <v>235</v>
      </c>
    </row>
    <row r="199" spans="1:15">
      <c r="A199" s="91" t="s">
        <v>240</v>
      </c>
      <c r="B199" s="31" t="s">
        <v>368</v>
      </c>
      <c r="C199" s="99">
        <v>1</v>
      </c>
      <c r="D199" s="129">
        <v>0.1</v>
      </c>
      <c r="E199" s="83">
        <f t="shared" ref="E199:E217" si="17">C199*F199</f>
        <v>1.0314695999999999E-10</v>
      </c>
      <c r="F199" s="20">
        <f t="shared" ref="F199:F217" si="18">G199*H199*I199*J199*K199*L199*M199*N199</f>
        <v>1.0314695999999999E-10</v>
      </c>
      <c r="G199" s="28">
        <f t="shared" ref="G199" si="19">0.049*10^-6</f>
        <v>4.9000000000000002E-8</v>
      </c>
      <c r="H199" s="126">
        <v>0.35799999999999998</v>
      </c>
      <c r="I199" s="24">
        <f>0.7</f>
        <v>0.7</v>
      </c>
      <c r="J199" s="24">
        <f>0.7</f>
        <v>0.7</v>
      </c>
      <c r="K199" s="24">
        <v>0.05</v>
      </c>
      <c r="L199" s="24">
        <v>4</v>
      </c>
      <c r="M199" s="24">
        <f t="shared" ref="M199" si="20">0.3</f>
        <v>0.3</v>
      </c>
      <c r="N199" s="24">
        <v>0.2</v>
      </c>
      <c r="O199" s="24">
        <v>30</v>
      </c>
    </row>
    <row r="200" spans="1:15">
      <c r="A200" s="91" t="s">
        <v>183</v>
      </c>
      <c r="B200" s="31" t="s">
        <v>369</v>
      </c>
      <c r="C200" s="99">
        <v>1</v>
      </c>
      <c r="D200" s="129">
        <v>0.1</v>
      </c>
      <c r="E200" s="83">
        <f t="shared" si="17"/>
        <v>1.0314695999999999E-10</v>
      </c>
      <c r="F200" s="20">
        <f t="shared" si="18"/>
        <v>1.0314695999999999E-10</v>
      </c>
      <c r="G200" s="28">
        <f t="shared" ref="G200:G224" si="21">0.049*10^-6</f>
        <v>4.9000000000000002E-8</v>
      </c>
      <c r="H200" s="126">
        <v>0.35799999999999998</v>
      </c>
      <c r="I200" s="24">
        <f>0.7</f>
        <v>0.7</v>
      </c>
      <c r="J200" s="24">
        <f>0.7</f>
        <v>0.7</v>
      </c>
      <c r="K200" s="24">
        <v>0.05</v>
      </c>
      <c r="L200" s="24">
        <v>4</v>
      </c>
      <c r="M200" s="24">
        <f t="shared" ref="M200:M224" si="22">0.3</f>
        <v>0.3</v>
      </c>
      <c r="N200" s="24">
        <v>0.2</v>
      </c>
      <c r="O200" s="24">
        <v>30</v>
      </c>
    </row>
    <row r="201" spans="1:15">
      <c r="A201" s="91" t="s">
        <v>185</v>
      </c>
      <c r="B201" s="143" t="s">
        <v>370</v>
      </c>
      <c r="C201" s="99">
        <v>1</v>
      </c>
      <c r="D201" s="129">
        <v>0.1</v>
      </c>
      <c r="E201" s="83">
        <f t="shared" si="17"/>
        <v>2.2253279999999996E-9</v>
      </c>
      <c r="F201" s="140">
        <f t="shared" si="18"/>
        <v>2.2253279999999996E-9</v>
      </c>
      <c r="G201" s="129">
        <f>0.037*10^-6</f>
        <v>3.6999999999999994E-8</v>
      </c>
      <c r="H201" s="141">
        <v>0.35799999999999998</v>
      </c>
      <c r="I201" s="142">
        <v>1</v>
      </c>
      <c r="J201" s="142">
        <f>0.7</f>
        <v>0.7</v>
      </c>
      <c r="K201" s="142">
        <v>1</v>
      </c>
      <c r="L201" s="142">
        <v>4</v>
      </c>
      <c r="M201" s="142">
        <f t="shared" si="22"/>
        <v>0.3</v>
      </c>
      <c r="N201" s="142">
        <v>0.2</v>
      </c>
      <c r="O201" s="142">
        <v>30</v>
      </c>
    </row>
    <row r="202" spans="1:15">
      <c r="A202" s="91" t="s">
        <v>164</v>
      </c>
      <c r="B202" s="143" t="s">
        <v>371</v>
      </c>
      <c r="C202" s="99">
        <v>1</v>
      </c>
      <c r="D202" s="129">
        <v>0.25</v>
      </c>
      <c r="E202" s="83">
        <f t="shared" si="17"/>
        <v>1.2619655999999999E-10</v>
      </c>
      <c r="F202" s="140">
        <f t="shared" si="18"/>
        <v>1.2619655999999999E-10</v>
      </c>
      <c r="G202" s="129">
        <f t="shared" si="21"/>
        <v>4.9000000000000002E-8</v>
      </c>
      <c r="H202" s="141">
        <v>0.438</v>
      </c>
      <c r="I202" s="142">
        <f>0.7</f>
        <v>0.7</v>
      </c>
      <c r="J202" s="142">
        <f>0.7</f>
        <v>0.7</v>
      </c>
      <c r="K202" s="142">
        <v>0.05</v>
      </c>
      <c r="L202" s="24">
        <v>4</v>
      </c>
      <c r="M202" s="24">
        <f t="shared" si="22"/>
        <v>0.3</v>
      </c>
      <c r="N202" s="24">
        <v>0.2</v>
      </c>
      <c r="O202" s="24">
        <v>30</v>
      </c>
    </row>
    <row r="203" spans="1:15">
      <c r="A203" s="91" t="s">
        <v>165</v>
      </c>
      <c r="B203" s="143" t="s">
        <v>372</v>
      </c>
      <c r="C203" s="99">
        <v>1</v>
      </c>
      <c r="D203" s="129">
        <v>0.1</v>
      </c>
      <c r="E203" s="83">
        <f t="shared" si="17"/>
        <v>1.473528E-10</v>
      </c>
      <c r="F203" s="140">
        <f t="shared" si="18"/>
        <v>1.473528E-10</v>
      </c>
      <c r="G203" s="129">
        <f t="shared" si="21"/>
        <v>4.9000000000000002E-8</v>
      </c>
      <c r="H203" s="141">
        <v>0.35799999999999998</v>
      </c>
      <c r="I203" s="142">
        <v>1</v>
      </c>
      <c r="J203" s="142">
        <f>0.7</f>
        <v>0.7</v>
      </c>
      <c r="K203" s="142">
        <v>0.05</v>
      </c>
      <c r="L203" s="24">
        <v>4</v>
      </c>
      <c r="M203" s="24">
        <f t="shared" si="22"/>
        <v>0.3</v>
      </c>
      <c r="N203" s="24">
        <v>0.2</v>
      </c>
      <c r="O203" s="24">
        <v>30</v>
      </c>
    </row>
    <row r="204" spans="1:15">
      <c r="A204" s="91" t="s">
        <v>166</v>
      </c>
      <c r="B204" s="143" t="s">
        <v>373</v>
      </c>
      <c r="C204" s="99">
        <v>1</v>
      </c>
      <c r="D204" s="129">
        <v>0.1</v>
      </c>
      <c r="E204" s="83">
        <f t="shared" si="17"/>
        <v>1.0314695999999999E-10</v>
      </c>
      <c r="F204" s="140">
        <f t="shared" si="18"/>
        <v>1.0314695999999999E-10</v>
      </c>
      <c r="G204" s="129">
        <f t="shared" si="21"/>
        <v>4.9000000000000002E-8</v>
      </c>
      <c r="H204" s="141">
        <v>0.35799999999999998</v>
      </c>
      <c r="I204" s="142">
        <f>0.7</f>
        <v>0.7</v>
      </c>
      <c r="J204" s="142">
        <f t="shared" ref="J204:J216" si="23">0.7</f>
        <v>0.7</v>
      </c>
      <c r="K204" s="142">
        <v>0.05</v>
      </c>
      <c r="L204" s="24">
        <v>4</v>
      </c>
      <c r="M204" s="24">
        <f t="shared" si="22"/>
        <v>0.3</v>
      </c>
      <c r="N204" s="24">
        <v>0.2</v>
      </c>
      <c r="O204" s="24">
        <v>30</v>
      </c>
    </row>
    <row r="205" spans="1:15">
      <c r="A205" s="91" t="s">
        <v>186</v>
      </c>
      <c r="B205" s="143" t="s">
        <v>374</v>
      </c>
      <c r="C205" s="99">
        <v>1</v>
      </c>
      <c r="D205" s="129">
        <v>0.1</v>
      </c>
      <c r="E205" s="83">
        <f t="shared" ref="E205:E207" si="24">C205*F205</f>
        <v>1.0314695999999999E-10</v>
      </c>
      <c r="F205" s="140">
        <f t="shared" ref="F205:F207" si="25">G205*H205*I205*J205*K205*L205*M205*N205</f>
        <v>1.0314695999999999E-10</v>
      </c>
      <c r="G205" s="129">
        <f t="shared" si="21"/>
        <v>4.9000000000000002E-8</v>
      </c>
      <c r="H205" s="141">
        <v>0.35799999999999998</v>
      </c>
      <c r="I205" s="142">
        <f>0.7</f>
        <v>0.7</v>
      </c>
      <c r="J205" s="142">
        <f t="shared" si="23"/>
        <v>0.7</v>
      </c>
      <c r="K205" s="142">
        <v>0.05</v>
      </c>
      <c r="L205" s="24">
        <v>4</v>
      </c>
      <c r="M205" s="24">
        <f t="shared" si="22"/>
        <v>0.3</v>
      </c>
      <c r="N205" s="24">
        <v>0.2</v>
      </c>
      <c r="O205" s="24">
        <v>30</v>
      </c>
    </row>
    <row r="206" spans="1:15">
      <c r="A206" s="91" t="s">
        <v>187</v>
      </c>
      <c r="B206" s="143" t="s">
        <v>368</v>
      </c>
      <c r="C206" s="99">
        <v>1</v>
      </c>
      <c r="D206" s="129">
        <v>0.1</v>
      </c>
      <c r="E206" s="83">
        <f t="shared" si="24"/>
        <v>1.0314695999999999E-10</v>
      </c>
      <c r="F206" s="140">
        <f t="shared" si="25"/>
        <v>1.0314695999999999E-10</v>
      </c>
      <c r="G206" s="129">
        <f t="shared" si="21"/>
        <v>4.9000000000000002E-8</v>
      </c>
      <c r="H206" s="141">
        <v>0.35799999999999998</v>
      </c>
      <c r="I206" s="142">
        <f>0.7</f>
        <v>0.7</v>
      </c>
      <c r="J206" s="142">
        <f t="shared" si="23"/>
        <v>0.7</v>
      </c>
      <c r="K206" s="142">
        <v>0.05</v>
      </c>
      <c r="L206" s="24">
        <v>4</v>
      </c>
      <c r="M206" s="24">
        <f t="shared" si="22"/>
        <v>0.3</v>
      </c>
      <c r="N206" s="24">
        <v>0.2</v>
      </c>
      <c r="O206" s="24">
        <v>30</v>
      </c>
    </row>
    <row r="207" spans="1:15">
      <c r="A207" s="91" t="s">
        <v>173</v>
      </c>
      <c r="B207" s="143" t="s">
        <v>375</v>
      </c>
      <c r="C207" s="99">
        <v>1</v>
      </c>
      <c r="D207" s="129">
        <v>0.1</v>
      </c>
      <c r="E207" s="83">
        <f t="shared" si="24"/>
        <v>1.0314695999999999E-10</v>
      </c>
      <c r="F207" s="140">
        <f t="shared" si="25"/>
        <v>1.0314695999999999E-10</v>
      </c>
      <c r="G207" s="129">
        <f t="shared" si="21"/>
        <v>4.9000000000000002E-8</v>
      </c>
      <c r="H207" s="141">
        <v>0.35799999999999998</v>
      </c>
      <c r="I207" s="142">
        <f>0.7</f>
        <v>0.7</v>
      </c>
      <c r="J207" s="142">
        <f t="shared" si="23"/>
        <v>0.7</v>
      </c>
      <c r="K207" s="142">
        <v>0.05</v>
      </c>
      <c r="L207" s="24">
        <v>4</v>
      </c>
      <c r="M207" s="24">
        <f t="shared" si="22"/>
        <v>0.3</v>
      </c>
      <c r="N207" s="24">
        <v>0.2</v>
      </c>
      <c r="O207" s="24">
        <v>30</v>
      </c>
    </row>
    <row r="208" spans="1:15">
      <c r="A208" s="91" t="s">
        <v>174</v>
      </c>
      <c r="B208" s="143" t="s">
        <v>376</v>
      </c>
      <c r="C208" s="99">
        <v>1</v>
      </c>
      <c r="D208" s="129">
        <v>0.1</v>
      </c>
      <c r="E208" s="83">
        <f t="shared" si="17"/>
        <v>1.0314695999999999E-10</v>
      </c>
      <c r="F208" s="140">
        <f t="shared" si="18"/>
        <v>1.0314695999999999E-10</v>
      </c>
      <c r="G208" s="129">
        <f t="shared" si="21"/>
        <v>4.9000000000000002E-8</v>
      </c>
      <c r="H208" s="141">
        <v>0.35799999999999998</v>
      </c>
      <c r="I208" s="142">
        <f>0.7</f>
        <v>0.7</v>
      </c>
      <c r="J208" s="142">
        <f t="shared" si="23"/>
        <v>0.7</v>
      </c>
      <c r="K208" s="142">
        <v>0.05</v>
      </c>
      <c r="L208" s="24">
        <v>4</v>
      </c>
      <c r="M208" s="24">
        <f t="shared" si="22"/>
        <v>0.3</v>
      </c>
      <c r="N208" s="24">
        <v>0.2</v>
      </c>
      <c r="O208" s="24">
        <v>30</v>
      </c>
    </row>
    <row r="209" spans="1:15">
      <c r="A209" s="91" t="s">
        <v>175</v>
      </c>
      <c r="B209" s="143" t="s">
        <v>226</v>
      </c>
      <c r="C209" s="99">
        <v>1</v>
      </c>
      <c r="D209" s="129">
        <v>0.1</v>
      </c>
      <c r="E209" s="83">
        <f t="shared" ref="E209" si="26">C209*F209</f>
        <v>1.473528E-10</v>
      </c>
      <c r="F209" s="140">
        <f t="shared" ref="F209" si="27">G209*H209*I209*J209*K209*L209*M209*N209</f>
        <v>1.473528E-10</v>
      </c>
      <c r="G209" s="129">
        <f t="shared" si="21"/>
        <v>4.9000000000000002E-8</v>
      </c>
      <c r="H209" s="141">
        <v>0.35799999999999998</v>
      </c>
      <c r="I209" s="142">
        <v>1</v>
      </c>
      <c r="J209" s="142">
        <f t="shared" si="23"/>
        <v>0.7</v>
      </c>
      <c r="K209" s="142">
        <v>0.05</v>
      </c>
      <c r="L209" s="24">
        <v>4</v>
      </c>
      <c r="M209" s="24">
        <f t="shared" si="22"/>
        <v>0.3</v>
      </c>
      <c r="N209" s="24">
        <v>0.2</v>
      </c>
      <c r="O209" s="24">
        <v>30</v>
      </c>
    </row>
    <row r="210" spans="1:15">
      <c r="A210" s="91" t="s">
        <v>176</v>
      </c>
      <c r="B210" s="143" t="s">
        <v>377</v>
      </c>
      <c r="C210" s="99">
        <v>1</v>
      </c>
      <c r="D210" s="129">
        <v>0.1</v>
      </c>
      <c r="E210" s="83">
        <f t="shared" si="17"/>
        <v>1.0314695999999999E-10</v>
      </c>
      <c r="F210" s="140">
        <f t="shared" si="18"/>
        <v>1.0314695999999999E-10</v>
      </c>
      <c r="G210" s="129">
        <f t="shared" si="21"/>
        <v>4.9000000000000002E-8</v>
      </c>
      <c r="H210" s="141">
        <v>0.35799999999999998</v>
      </c>
      <c r="I210" s="142">
        <v>0.7</v>
      </c>
      <c r="J210" s="142">
        <f>0.7</f>
        <v>0.7</v>
      </c>
      <c r="K210" s="142">
        <v>0.05</v>
      </c>
      <c r="L210" s="24">
        <v>4</v>
      </c>
      <c r="M210" s="24">
        <f t="shared" si="22"/>
        <v>0.3</v>
      </c>
      <c r="N210" s="24">
        <v>0.2</v>
      </c>
      <c r="O210" s="24">
        <v>30</v>
      </c>
    </row>
    <row r="211" spans="1:15">
      <c r="A211" s="91" t="s">
        <v>177</v>
      </c>
      <c r="B211" s="143" t="s">
        <v>378</v>
      </c>
      <c r="C211" s="99">
        <v>1</v>
      </c>
      <c r="D211" s="129">
        <v>0.1</v>
      </c>
      <c r="E211" s="83">
        <f t="shared" si="17"/>
        <v>1.473528E-10</v>
      </c>
      <c r="F211" s="140">
        <f t="shared" si="18"/>
        <v>1.473528E-10</v>
      </c>
      <c r="G211" s="129">
        <f t="shared" si="21"/>
        <v>4.9000000000000002E-8</v>
      </c>
      <c r="H211" s="141">
        <v>0.35799999999999998</v>
      </c>
      <c r="I211" s="142">
        <v>1</v>
      </c>
      <c r="J211" s="142">
        <f t="shared" si="23"/>
        <v>0.7</v>
      </c>
      <c r="K211" s="142">
        <v>0.05</v>
      </c>
      <c r="L211" s="24">
        <v>4</v>
      </c>
      <c r="M211" s="24">
        <f t="shared" si="22"/>
        <v>0.3</v>
      </c>
      <c r="N211" s="24">
        <v>0.2</v>
      </c>
      <c r="O211" s="24">
        <v>30</v>
      </c>
    </row>
    <row r="212" spans="1:15">
      <c r="A212" s="91" t="s">
        <v>178</v>
      </c>
      <c r="B212" s="143" t="s">
        <v>379</v>
      </c>
      <c r="C212" s="99">
        <v>1</v>
      </c>
      <c r="D212" s="129">
        <v>0.15</v>
      </c>
      <c r="E212" s="83">
        <f t="shared" si="17"/>
        <v>1.6795631999999997E-9</v>
      </c>
      <c r="F212" s="140">
        <f t="shared" si="18"/>
        <v>1.6795631999999997E-9</v>
      </c>
      <c r="G212" s="129">
        <f>0.037*10^-6</f>
        <v>3.6999999999999994E-8</v>
      </c>
      <c r="H212" s="141">
        <v>0.38600000000000001</v>
      </c>
      <c r="I212" s="142">
        <v>0.7</v>
      </c>
      <c r="J212" s="142">
        <f t="shared" si="23"/>
        <v>0.7</v>
      </c>
      <c r="K212" s="142">
        <v>1</v>
      </c>
      <c r="L212" s="24">
        <v>4</v>
      </c>
      <c r="M212" s="24">
        <f t="shared" si="22"/>
        <v>0.3</v>
      </c>
      <c r="N212" s="24">
        <v>0.2</v>
      </c>
      <c r="O212" s="24">
        <v>31</v>
      </c>
    </row>
    <row r="213" spans="1:15">
      <c r="A213" s="91" t="s">
        <v>179</v>
      </c>
      <c r="B213" s="143" t="s">
        <v>379</v>
      </c>
      <c r="C213" s="99">
        <v>1</v>
      </c>
      <c r="D213" s="129">
        <v>0.15</v>
      </c>
      <c r="E213" s="83">
        <f t="shared" si="17"/>
        <v>1.6795631999999997E-9</v>
      </c>
      <c r="F213" s="140">
        <f t="shared" si="18"/>
        <v>1.6795631999999997E-9</v>
      </c>
      <c r="G213" s="129">
        <f>0.037*10^-6</f>
        <v>3.6999999999999994E-8</v>
      </c>
      <c r="H213" s="141">
        <v>0.38600000000000001</v>
      </c>
      <c r="I213" s="142">
        <v>0.7</v>
      </c>
      <c r="J213" s="142">
        <f>0.7</f>
        <v>0.7</v>
      </c>
      <c r="K213" s="142">
        <v>1</v>
      </c>
      <c r="L213" s="24">
        <v>4</v>
      </c>
      <c r="M213" s="24">
        <f t="shared" si="22"/>
        <v>0.3</v>
      </c>
      <c r="N213" s="24">
        <v>0.2</v>
      </c>
      <c r="O213" s="24">
        <v>31</v>
      </c>
    </row>
    <row r="214" spans="1:15">
      <c r="A214" s="91" t="s">
        <v>180</v>
      </c>
      <c r="B214" s="143" t="s">
        <v>380</v>
      </c>
      <c r="C214" s="99">
        <v>1</v>
      </c>
      <c r="D214" s="129">
        <v>0.25</v>
      </c>
      <c r="E214" s="83">
        <f t="shared" si="17"/>
        <v>2.7350399999999997E-9</v>
      </c>
      <c r="F214" s="140">
        <f t="shared" si="18"/>
        <v>2.7350399999999997E-9</v>
      </c>
      <c r="G214" s="129">
        <f>0.037*10^-6</f>
        <v>3.6999999999999994E-8</v>
      </c>
      <c r="H214" s="141">
        <v>0.44</v>
      </c>
      <c r="I214" s="142">
        <v>1</v>
      </c>
      <c r="J214" s="142">
        <f t="shared" si="23"/>
        <v>0.7</v>
      </c>
      <c r="K214" s="142">
        <v>1</v>
      </c>
      <c r="L214" s="24">
        <v>4</v>
      </c>
      <c r="M214" s="24">
        <f t="shared" si="22"/>
        <v>0.3</v>
      </c>
      <c r="N214" s="24">
        <v>0.2</v>
      </c>
      <c r="O214" s="28">
        <v>31</v>
      </c>
    </row>
    <row r="215" spans="1:15">
      <c r="A215" s="91" t="s">
        <v>249</v>
      </c>
      <c r="B215" s="143" t="s">
        <v>380</v>
      </c>
      <c r="C215" s="99">
        <v>1</v>
      </c>
      <c r="D215" s="129">
        <v>0.25</v>
      </c>
      <c r="E215" s="83">
        <f t="shared" si="17"/>
        <v>2.7350399999999997E-9</v>
      </c>
      <c r="F215" s="140">
        <f t="shared" si="18"/>
        <v>2.7350399999999997E-9</v>
      </c>
      <c r="G215" s="129">
        <f>0.037*10^-6</f>
        <v>3.6999999999999994E-8</v>
      </c>
      <c r="H215" s="141">
        <v>0.44</v>
      </c>
      <c r="I215" s="142">
        <v>1</v>
      </c>
      <c r="J215" s="142">
        <f t="shared" si="23"/>
        <v>0.7</v>
      </c>
      <c r="K215" s="142">
        <v>1</v>
      </c>
      <c r="L215" s="24">
        <v>4</v>
      </c>
      <c r="M215" s="24">
        <f t="shared" si="22"/>
        <v>0.3</v>
      </c>
      <c r="N215" s="24">
        <v>0.2</v>
      </c>
      <c r="O215" s="28">
        <v>31</v>
      </c>
    </row>
    <row r="216" spans="1:15">
      <c r="A216" s="91" t="s">
        <v>250</v>
      </c>
      <c r="B216" s="31" t="s">
        <v>375</v>
      </c>
      <c r="C216" s="99">
        <v>1</v>
      </c>
      <c r="D216" s="129">
        <v>0.1</v>
      </c>
      <c r="E216" s="83">
        <f t="shared" si="17"/>
        <v>1.0487567999999999E-10</v>
      </c>
      <c r="F216" s="140">
        <f t="shared" si="18"/>
        <v>1.0487567999999999E-10</v>
      </c>
      <c r="G216" s="129">
        <f t="shared" si="21"/>
        <v>4.9000000000000002E-8</v>
      </c>
      <c r="H216" s="141">
        <v>0.36399999999999999</v>
      </c>
      <c r="I216" s="142">
        <v>0.7</v>
      </c>
      <c r="J216" s="142">
        <f t="shared" si="23"/>
        <v>0.7</v>
      </c>
      <c r="K216" s="142">
        <v>0.05</v>
      </c>
      <c r="L216" s="24">
        <v>4</v>
      </c>
      <c r="M216" s="24">
        <f t="shared" si="22"/>
        <v>0.3</v>
      </c>
      <c r="N216" s="24">
        <v>0.2</v>
      </c>
      <c r="O216" s="28">
        <v>33</v>
      </c>
    </row>
    <row r="217" spans="1:15">
      <c r="A217" s="91" t="s">
        <v>188</v>
      </c>
      <c r="B217" s="31" t="s">
        <v>375</v>
      </c>
      <c r="C217" s="99">
        <v>1</v>
      </c>
      <c r="D217" s="129">
        <v>0.1</v>
      </c>
      <c r="E217" s="83">
        <f t="shared" si="17"/>
        <v>1.0487567999999999E-10</v>
      </c>
      <c r="F217" s="140">
        <f t="shared" si="18"/>
        <v>1.0487567999999999E-10</v>
      </c>
      <c r="G217" s="129">
        <f t="shared" si="21"/>
        <v>4.9000000000000002E-8</v>
      </c>
      <c r="H217" s="141">
        <v>0.36399999999999999</v>
      </c>
      <c r="I217" s="142">
        <v>0.7</v>
      </c>
      <c r="J217" s="142">
        <f>0.7</f>
        <v>0.7</v>
      </c>
      <c r="K217" s="142">
        <v>0.05</v>
      </c>
      <c r="L217" s="24">
        <v>4</v>
      </c>
      <c r="M217" s="24">
        <f t="shared" si="22"/>
        <v>0.3</v>
      </c>
      <c r="N217" s="24">
        <v>0.2</v>
      </c>
      <c r="O217" s="28">
        <v>33</v>
      </c>
    </row>
    <row r="218" spans="1:15">
      <c r="A218" s="91" t="s">
        <v>189</v>
      </c>
      <c r="B218" s="31" t="s">
        <v>376</v>
      </c>
      <c r="C218" s="99">
        <v>1</v>
      </c>
      <c r="D218" s="129">
        <v>0.1</v>
      </c>
      <c r="E218" s="83">
        <f t="shared" ref="E218:E236" si="28">C218*F218</f>
        <v>1.037232E-10</v>
      </c>
      <c r="F218" s="140">
        <f t="shared" ref="F218:F236" si="29">G218*H218*I218*J218*K218*L218*M218*N218</f>
        <v>1.037232E-10</v>
      </c>
      <c r="G218" s="129">
        <f t="shared" si="21"/>
        <v>4.9000000000000002E-8</v>
      </c>
      <c r="H218" s="141">
        <v>0.36</v>
      </c>
      <c r="I218" s="142">
        <v>0.7</v>
      </c>
      <c r="J218" s="142">
        <f>0.7</f>
        <v>0.7</v>
      </c>
      <c r="K218" s="142">
        <v>0.05</v>
      </c>
      <c r="L218" s="24">
        <v>4</v>
      </c>
      <c r="M218" s="24">
        <f t="shared" si="22"/>
        <v>0.3</v>
      </c>
      <c r="N218" s="24">
        <v>0.2</v>
      </c>
      <c r="O218" s="28">
        <v>31</v>
      </c>
    </row>
    <row r="219" spans="1:15">
      <c r="A219" s="91" t="s">
        <v>251</v>
      </c>
      <c r="B219" s="31" t="s">
        <v>381</v>
      </c>
      <c r="C219" s="99">
        <v>1</v>
      </c>
      <c r="D219" s="129">
        <v>0.1</v>
      </c>
      <c r="E219" s="83">
        <f t="shared" si="28"/>
        <v>1.0429943999999999E-10</v>
      </c>
      <c r="F219" s="140">
        <f t="shared" si="29"/>
        <v>1.0429943999999999E-10</v>
      </c>
      <c r="G219" s="129">
        <f t="shared" si="21"/>
        <v>4.9000000000000002E-8</v>
      </c>
      <c r="H219" s="141">
        <v>0.36199999999999999</v>
      </c>
      <c r="I219" s="142">
        <v>0.7</v>
      </c>
      <c r="J219" s="142">
        <f t="shared" ref="J219:J235" si="30">0.7</f>
        <v>0.7</v>
      </c>
      <c r="K219" s="142">
        <v>0.05</v>
      </c>
      <c r="L219" s="24">
        <v>4</v>
      </c>
      <c r="M219" s="24">
        <f t="shared" si="22"/>
        <v>0.3</v>
      </c>
      <c r="N219" s="24">
        <v>0.2</v>
      </c>
      <c r="O219" s="28">
        <v>32</v>
      </c>
    </row>
    <row r="220" spans="1:15">
      <c r="A220" s="91" t="s">
        <v>190</v>
      </c>
      <c r="B220" s="31" t="s">
        <v>401</v>
      </c>
      <c r="C220" s="99">
        <v>1</v>
      </c>
      <c r="D220" s="129">
        <v>0.1</v>
      </c>
      <c r="E220" s="83">
        <f t="shared" si="28"/>
        <v>1.0487567999999999E-10</v>
      </c>
      <c r="F220" s="140">
        <f t="shared" si="29"/>
        <v>1.0487567999999999E-10</v>
      </c>
      <c r="G220" s="129">
        <f t="shared" si="21"/>
        <v>4.9000000000000002E-8</v>
      </c>
      <c r="H220" s="141">
        <v>0.36399999999999999</v>
      </c>
      <c r="I220" s="142">
        <v>0.7</v>
      </c>
      <c r="J220" s="142">
        <f t="shared" si="30"/>
        <v>0.7</v>
      </c>
      <c r="K220" s="142">
        <v>0.05</v>
      </c>
      <c r="L220" s="24">
        <v>4</v>
      </c>
      <c r="M220" s="24">
        <f t="shared" si="22"/>
        <v>0.3</v>
      </c>
      <c r="N220" s="24">
        <v>0.2</v>
      </c>
      <c r="O220" s="28">
        <v>33</v>
      </c>
    </row>
    <row r="221" spans="1:15">
      <c r="A221" s="91" t="s">
        <v>191</v>
      </c>
      <c r="B221" s="31" t="s">
        <v>382</v>
      </c>
      <c r="C221" s="99">
        <v>1</v>
      </c>
      <c r="D221" s="129">
        <v>0.1</v>
      </c>
      <c r="E221" s="83">
        <f t="shared" si="28"/>
        <v>1.0487567999999999E-10</v>
      </c>
      <c r="F221" s="140">
        <f t="shared" si="29"/>
        <v>1.0487567999999999E-10</v>
      </c>
      <c r="G221" s="129">
        <f t="shared" si="21"/>
        <v>4.9000000000000002E-8</v>
      </c>
      <c r="H221" s="141">
        <v>0.36399999999999999</v>
      </c>
      <c r="I221" s="142">
        <v>0.7</v>
      </c>
      <c r="J221" s="142">
        <f t="shared" si="30"/>
        <v>0.7</v>
      </c>
      <c r="K221" s="142">
        <v>0.05</v>
      </c>
      <c r="L221" s="24">
        <v>4</v>
      </c>
      <c r="M221" s="24">
        <f t="shared" si="22"/>
        <v>0.3</v>
      </c>
      <c r="N221" s="24">
        <v>0.2</v>
      </c>
      <c r="O221" s="28">
        <v>33</v>
      </c>
    </row>
    <row r="222" spans="1:15">
      <c r="A222" s="91" t="s">
        <v>347</v>
      </c>
      <c r="B222" s="31" t="s">
        <v>383</v>
      </c>
      <c r="C222" s="99">
        <v>1</v>
      </c>
      <c r="D222" s="129">
        <v>0.1</v>
      </c>
      <c r="E222" s="83">
        <f t="shared" si="28"/>
        <v>1.5105720000000001E-10</v>
      </c>
      <c r="F222" s="140">
        <f t="shared" si="29"/>
        <v>1.5105720000000001E-10</v>
      </c>
      <c r="G222" s="129">
        <f t="shared" si="21"/>
        <v>4.9000000000000002E-8</v>
      </c>
      <c r="H222" s="141">
        <v>0.36699999999999999</v>
      </c>
      <c r="I222" s="142">
        <v>1</v>
      </c>
      <c r="J222" s="142">
        <f>0.7</f>
        <v>0.7</v>
      </c>
      <c r="K222" s="142">
        <v>0.05</v>
      </c>
      <c r="L222" s="24">
        <v>4</v>
      </c>
      <c r="M222" s="24">
        <f t="shared" si="22"/>
        <v>0.3</v>
      </c>
      <c r="N222" s="24">
        <v>0.2</v>
      </c>
      <c r="O222" s="28">
        <v>34</v>
      </c>
    </row>
    <row r="223" spans="1:15">
      <c r="A223" s="91" t="s">
        <v>348</v>
      </c>
      <c r="B223" s="31" t="s">
        <v>383</v>
      </c>
      <c r="C223" s="99">
        <v>1</v>
      </c>
      <c r="D223" s="129">
        <v>0.1</v>
      </c>
      <c r="E223" s="83">
        <f t="shared" si="28"/>
        <v>1.5105720000000001E-10</v>
      </c>
      <c r="F223" s="140">
        <f t="shared" si="29"/>
        <v>1.5105720000000001E-10</v>
      </c>
      <c r="G223" s="129">
        <f t="shared" si="21"/>
        <v>4.9000000000000002E-8</v>
      </c>
      <c r="H223" s="141">
        <v>0.36699999999999999</v>
      </c>
      <c r="I223" s="142">
        <v>1</v>
      </c>
      <c r="J223" s="142">
        <f t="shared" ref="J223:J224" si="31">0.7</f>
        <v>0.7</v>
      </c>
      <c r="K223" s="142">
        <v>0.05</v>
      </c>
      <c r="L223" s="24">
        <v>4</v>
      </c>
      <c r="M223" s="24">
        <f t="shared" si="22"/>
        <v>0.3</v>
      </c>
      <c r="N223" s="24">
        <v>0.2</v>
      </c>
      <c r="O223" s="24">
        <v>34</v>
      </c>
    </row>
    <row r="224" spans="1:15">
      <c r="A224" s="91" t="s">
        <v>349</v>
      </c>
      <c r="B224" s="31" t="s">
        <v>384</v>
      </c>
      <c r="C224" s="99">
        <v>1</v>
      </c>
      <c r="D224" s="129">
        <v>0.1</v>
      </c>
      <c r="E224" s="83">
        <f t="shared" si="28"/>
        <v>1.4899920000000001E-10</v>
      </c>
      <c r="F224" s="140">
        <f t="shared" si="29"/>
        <v>1.4899920000000001E-10</v>
      </c>
      <c r="G224" s="129">
        <f t="shared" si="21"/>
        <v>4.9000000000000002E-8</v>
      </c>
      <c r="H224" s="141">
        <v>0.36199999999999999</v>
      </c>
      <c r="I224" s="142">
        <v>1</v>
      </c>
      <c r="J224" s="142">
        <f t="shared" si="31"/>
        <v>0.7</v>
      </c>
      <c r="K224" s="142">
        <v>0.05</v>
      </c>
      <c r="L224" s="24">
        <v>4</v>
      </c>
      <c r="M224" s="24">
        <f t="shared" si="22"/>
        <v>0.3</v>
      </c>
      <c r="N224" s="24">
        <v>0.2</v>
      </c>
      <c r="O224" s="24">
        <v>32</v>
      </c>
    </row>
    <row r="225" spans="1:15">
      <c r="A225" s="91" t="s">
        <v>273</v>
      </c>
      <c r="B225" s="31" t="s">
        <v>385</v>
      </c>
      <c r="C225" s="99">
        <v>1</v>
      </c>
      <c r="D225" s="129">
        <v>0.1</v>
      </c>
      <c r="E225" s="83">
        <f t="shared" si="28"/>
        <v>1.0429943999999999E-10</v>
      </c>
      <c r="F225" s="140">
        <f t="shared" si="29"/>
        <v>1.0429943999999999E-10</v>
      </c>
      <c r="G225" s="129">
        <f t="shared" ref="G225:G241" si="32">0.049*10^-6</f>
        <v>4.9000000000000002E-8</v>
      </c>
      <c r="H225" s="141">
        <v>0.36199999999999999</v>
      </c>
      <c r="I225" s="142">
        <v>0.7</v>
      </c>
      <c r="J225" s="142">
        <f>0.7</f>
        <v>0.7</v>
      </c>
      <c r="K225" s="142">
        <v>0.05</v>
      </c>
      <c r="L225" s="24">
        <v>4</v>
      </c>
      <c r="M225" s="24">
        <f t="shared" ref="M225:M241" si="33">0.3</f>
        <v>0.3</v>
      </c>
      <c r="N225" s="24">
        <v>0.2</v>
      </c>
      <c r="O225" s="28">
        <v>32</v>
      </c>
    </row>
    <row r="226" spans="1:15">
      <c r="A226" s="91" t="s">
        <v>274</v>
      </c>
      <c r="B226" s="31" t="s">
        <v>386</v>
      </c>
      <c r="C226" s="99">
        <v>1</v>
      </c>
      <c r="D226" s="129">
        <v>0.1</v>
      </c>
      <c r="E226" s="83">
        <f t="shared" si="28"/>
        <v>1.0487567999999999E-10</v>
      </c>
      <c r="F226" s="140">
        <f t="shared" si="29"/>
        <v>1.0487567999999999E-10</v>
      </c>
      <c r="G226" s="129">
        <f t="shared" si="32"/>
        <v>4.9000000000000002E-8</v>
      </c>
      <c r="H226" s="141">
        <v>0.36399999999999999</v>
      </c>
      <c r="I226" s="142">
        <v>0.7</v>
      </c>
      <c r="J226" s="142">
        <f t="shared" si="30"/>
        <v>0.7</v>
      </c>
      <c r="K226" s="142">
        <v>0.05</v>
      </c>
      <c r="L226" s="24">
        <v>4</v>
      </c>
      <c r="M226" s="24">
        <f t="shared" si="33"/>
        <v>0.3</v>
      </c>
      <c r="N226" s="24">
        <v>0.2</v>
      </c>
      <c r="O226" s="28">
        <v>33</v>
      </c>
    </row>
    <row r="227" spans="1:15">
      <c r="A227" s="91" t="s">
        <v>275</v>
      </c>
      <c r="B227" s="31" t="s">
        <v>387</v>
      </c>
      <c r="C227" s="99">
        <v>1</v>
      </c>
      <c r="D227" s="129">
        <v>0.1</v>
      </c>
      <c r="E227" s="83">
        <f t="shared" si="28"/>
        <v>1.0487567999999999E-10</v>
      </c>
      <c r="F227" s="140">
        <f t="shared" si="29"/>
        <v>1.0487567999999999E-10</v>
      </c>
      <c r="G227" s="129">
        <f t="shared" si="32"/>
        <v>4.9000000000000002E-8</v>
      </c>
      <c r="H227" s="141">
        <v>0.36399999999999999</v>
      </c>
      <c r="I227" s="142">
        <v>0.7</v>
      </c>
      <c r="J227" s="142">
        <f t="shared" si="30"/>
        <v>0.7</v>
      </c>
      <c r="K227" s="142">
        <v>0.05</v>
      </c>
      <c r="L227" s="24">
        <v>4</v>
      </c>
      <c r="M227" s="24">
        <f t="shared" si="33"/>
        <v>0.3</v>
      </c>
      <c r="N227" s="24">
        <v>0.2</v>
      </c>
      <c r="O227" s="28">
        <v>33</v>
      </c>
    </row>
    <row r="228" spans="1:15">
      <c r="A228" s="91" t="s">
        <v>276</v>
      </c>
      <c r="B228" s="143" t="s">
        <v>388</v>
      </c>
      <c r="C228" s="99">
        <v>1</v>
      </c>
      <c r="D228" s="129">
        <v>0.2</v>
      </c>
      <c r="E228" s="83">
        <f t="shared" si="28"/>
        <v>2.5982879999999995E-9</v>
      </c>
      <c r="F228" s="140">
        <f t="shared" si="29"/>
        <v>2.5982879999999995E-9</v>
      </c>
      <c r="G228" s="129">
        <f>0.037*10^-6</f>
        <v>3.6999999999999994E-8</v>
      </c>
      <c r="H228" s="141">
        <v>0.41799999999999998</v>
      </c>
      <c r="I228" s="142">
        <v>1</v>
      </c>
      <c r="J228" s="142">
        <f t="shared" si="30"/>
        <v>0.7</v>
      </c>
      <c r="K228" s="142">
        <v>1</v>
      </c>
      <c r="L228" s="24">
        <v>4</v>
      </c>
      <c r="M228" s="24">
        <f t="shared" si="33"/>
        <v>0.3</v>
      </c>
      <c r="N228" s="24">
        <v>0.2</v>
      </c>
      <c r="O228" s="28">
        <v>33</v>
      </c>
    </row>
    <row r="229" spans="1:15">
      <c r="A229" s="91" t="s">
        <v>350</v>
      </c>
      <c r="B229" s="143" t="s">
        <v>389</v>
      </c>
      <c r="C229" s="99">
        <v>1</v>
      </c>
      <c r="D229" s="129">
        <v>0.1</v>
      </c>
      <c r="E229" s="83">
        <f t="shared" si="28"/>
        <v>2.2812719999999997E-9</v>
      </c>
      <c r="F229" s="140">
        <f t="shared" si="29"/>
        <v>2.2812719999999997E-9</v>
      </c>
      <c r="G229" s="129">
        <f>0.037*10^-6</f>
        <v>3.6999999999999994E-8</v>
      </c>
      <c r="H229" s="141">
        <v>0.36699999999999999</v>
      </c>
      <c r="I229" s="142">
        <v>1</v>
      </c>
      <c r="J229" s="142">
        <f>0.7</f>
        <v>0.7</v>
      </c>
      <c r="K229" s="142">
        <v>1</v>
      </c>
      <c r="L229" s="24">
        <v>4</v>
      </c>
      <c r="M229" s="24">
        <f t="shared" si="33"/>
        <v>0.3</v>
      </c>
      <c r="N229" s="24">
        <v>0.2</v>
      </c>
      <c r="O229" s="28">
        <v>34</v>
      </c>
    </row>
    <row r="230" spans="1:15">
      <c r="A230" s="91" t="s">
        <v>351</v>
      </c>
      <c r="B230" s="143" t="s">
        <v>390</v>
      </c>
      <c r="C230" s="99">
        <v>1</v>
      </c>
      <c r="D230" s="129">
        <v>0.1</v>
      </c>
      <c r="E230" s="83">
        <f t="shared" si="28"/>
        <v>1.5270360000000001E-10</v>
      </c>
      <c r="F230" s="140">
        <f t="shared" si="29"/>
        <v>1.5270360000000001E-10</v>
      </c>
      <c r="G230" s="129">
        <f t="shared" si="32"/>
        <v>4.9000000000000002E-8</v>
      </c>
      <c r="H230" s="141">
        <v>0.371</v>
      </c>
      <c r="I230" s="142">
        <v>1</v>
      </c>
      <c r="J230" s="142">
        <f t="shared" ref="J230" si="34">0.7</f>
        <v>0.7</v>
      </c>
      <c r="K230" s="142">
        <v>0.05</v>
      </c>
      <c r="L230" s="24">
        <v>4</v>
      </c>
      <c r="M230" s="24">
        <f t="shared" si="33"/>
        <v>0.3</v>
      </c>
      <c r="N230" s="24">
        <v>0.2</v>
      </c>
      <c r="O230" s="24">
        <v>36</v>
      </c>
    </row>
    <row r="231" spans="1:15">
      <c r="A231" s="91" t="s">
        <v>277</v>
      </c>
      <c r="B231" s="143" t="s">
        <v>390</v>
      </c>
      <c r="C231" s="99">
        <v>1</v>
      </c>
      <c r="D231" s="129">
        <v>0.1</v>
      </c>
      <c r="E231" s="83">
        <f t="shared" si="28"/>
        <v>1.5352680000000003E-10</v>
      </c>
      <c r="F231" s="140">
        <f t="shared" si="29"/>
        <v>1.5352680000000003E-10</v>
      </c>
      <c r="G231" s="129">
        <f t="shared" si="32"/>
        <v>4.9000000000000002E-8</v>
      </c>
      <c r="H231" s="141">
        <v>0.373</v>
      </c>
      <c r="I231" s="142">
        <v>1</v>
      </c>
      <c r="J231" s="142">
        <f t="shared" si="30"/>
        <v>0.7</v>
      </c>
      <c r="K231" s="142">
        <v>0.05</v>
      </c>
      <c r="L231" s="24">
        <v>4</v>
      </c>
      <c r="M231" s="24">
        <f t="shared" si="33"/>
        <v>0.3</v>
      </c>
      <c r="N231" s="24">
        <v>0.2</v>
      </c>
      <c r="O231" s="28">
        <v>37</v>
      </c>
    </row>
    <row r="232" spans="1:15">
      <c r="A232" s="91" t="s">
        <v>278</v>
      </c>
      <c r="B232" s="143" t="s">
        <v>391</v>
      </c>
      <c r="C232" s="99">
        <v>1</v>
      </c>
      <c r="D232" s="129">
        <v>0.25</v>
      </c>
      <c r="E232" s="83">
        <f t="shared" si="28"/>
        <v>1.897476E-10</v>
      </c>
      <c r="F232" s="140">
        <f t="shared" si="29"/>
        <v>1.897476E-10</v>
      </c>
      <c r="G232" s="129">
        <f t="shared" si="32"/>
        <v>4.9000000000000002E-8</v>
      </c>
      <c r="H232" s="141">
        <v>0.46100000000000002</v>
      </c>
      <c r="I232" s="142">
        <v>1</v>
      </c>
      <c r="J232" s="142">
        <f>0.7</f>
        <v>0.7</v>
      </c>
      <c r="K232" s="142">
        <v>0.05</v>
      </c>
      <c r="L232" s="24">
        <v>4</v>
      </c>
      <c r="M232" s="24">
        <f t="shared" si="33"/>
        <v>0.3</v>
      </c>
      <c r="N232" s="24">
        <v>0.2</v>
      </c>
      <c r="O232" s="28">
        <v>38</v>
      </c>
    </row>
    <row r="233" spans="1:15">
      <c r="A233" s="91" t="s">
        <v>225</v>
      </c>
      <c r="B233" s="143" t="s">
        <v>391</v>
      </c>
      <c r="C233" s="99">
        <v>1</v>
      </c>
      <c r="D233" s="129">
        <v>0.25</v>
      </c>
      <c r="E233" s="83">
        <f t="shared" si="28"/>
        <v>1.9139400000000003E-10</v>
      </c>
      <c r="F233" s="140">
        <f t="shared" si="29"/>
        <v>1.9139400000000003E-10</v>
      </c>
      <c r="G233" s="129">
        <f t="shared" si="32"/>
        <v>4.9000000000000002E-8</v>
      </c>
      <c r="H233" s="141">
        <v>0.46500000000000002</v>
      </c>
      <c r="I233" s="142">
        <v>1</v>
      </c>
      <c r="J233" s="142">
        <f t="shared" si="30"/>
        <v>0.7</v>
      </c>
      <c r="K233" s="142">
        <v>0.05</v>
      </c>
      <c r="L233" s="24">
        <v>4</v>
      </c>
      <c r="M233" s="24">
        <f t="shared" si="33"/>
        <v>0.3</v>
      </c>
      <c r="N233" s="24">
        <v>0.2</v>
      </c>
      <c r="O233" s="28">
        <v>39</v>
      </c>
    </row>
    <row r="234" spans="1:15">
      <c r="A234" s="91" t="s">
        <v>279</v>
      </c>
      <c r="B234" s="143" t="s">
        <v>392</v>
      </c>
      <c r="C234" s="99">
        <v>1</v>
      </c>
      <c r="D234" s="129">
        <v>0.2</v>
      </c>
      <c r="E234" s="83">
        <f t="shared" si="28"/>
        <v>2.5982879999999995E-9</v>
      </c>
      <c r="F234" s="140">
        <f t="shared" si="29"/>
        <v>2.5982879999999995E-9</v>
      </c>
      <c r="G234" s="129">
        <f>0.037*10^-6</f>
        <v>3.6999999999999994E-8</v>
      </c>
      <c r="H234" s="141">
        <v>0.41799999999999998</v>
      </c>
      <c r="I234" s="142">
        <v>1</v>
      </c>
      <c r="J234" s="142">
        <f t="shared" si="30"/>
        <v>0.7</v>
      </c>
      <c r="K234" s="142">
        <v>1</v>
      </c>
      <c r="L234" s="24">
        <v>4</v>
      </c>
      <c r="M234" s="24">
        <f t="shared" si="33"/>
        <v>0.3</v>
      </c>
      <c r="N234" s="24">
        <v>0.2</v>
      </c>
      <c r="O234" s="28">
        <v>33</v>
      </c>
    </row>
    <row r="235" spans="1:15">
      <c r="A235" s="91" t="s">
        <v>280</v>
      </c>
      <c r="B235" s="143" t="s">
        <v>392</v>
      </c>
      <c r="C235" s="99">
        <v>1</v>
      </c>
      <c r="D235" s="129">
        <v>0.2</v>
      </c>
      <c r="E235" s="83">
        <f t="shared" si="28"/>
        <v>2.5982879999999995E-9</v>
      </c>
      <c r="F235" s="140">
        <f t="shared" si="29"/>
        <v>2.5982879999999995E-9</v>
      </c>
      <c r="G235" s="129">
        <f>0.037*10^-6</f>
        <v>3.6999999999999994E-8</v>
      </c>
      <c r="H235" s="141">
        <v>0.41799999999999998</v>
      </c>
      <c r="I235" s="142">
        <v>1</v>
      </c>
      <c r="J235" s="142">
        <f t="shared" si="30"/>
        <v>0.7</v>
      </c>
      <c r="K235" s="142">
        <v>1</v>
      </c>
      <c r="L235" s="24">
        <v>4</v>
      </c>
      <c r="M235" s="24">
        <f t="shared" si="33"/>
        <v>0.3</v>
      </c>
      <c r="N235" s="24">
        <v>0.2</v>
      </c>
      <c r="O235" s="28">
        <v>33</v>
      </c>
    </row>
    <row r="236" spans="1:15">
      <c r="A236" s="91" t="s">
        <v>281</v>
      </c>
      <c r="B236" s="143" t="s">
        <v>393</v>
      </c>
      <c r="C236" s="99">
        <v>1</v>
      </c>
      <c r="D236" s="129">
        <v>0.2</v>
      </c>
      <c r="E236" s="83">
        <f t="shared" si="28"/>
        <v>3.7308600000000007E-10</v>
      </c>
      <c r="F236" s="140">
        <f t="shared" si="29"/>
        <v>3.7308600000000007E-10</v>
      </c>
      <c r="G236" s="129">
        <f t="shared" si="32"/>
        <v>4.9000000000000002E-8</v>
      </c>
      <c r="H236" s="141">
        <v>0.42299999999999999</v>
      </c>
      <c r="I236" s="142">
        <v>1</v>
      </c>
      <c r="J236" s="142">
        <v>1.5</v>
      </c>
      <c r="K236" s="142">
        <v>0.05</v>
      </c>
      <c r="L236" s="24">
        <v>4</v>
      </c>
      <c r="M236" s="24">
        <f t="shared" si="33"/>
        <v>0.3</v>
      </c>
      <c r="N236" s="24">
        <v>0.2</v>
      </c>
      <c r="O236" s="28">
        <v>35</v>
      </c>
    </row>
    <row r="237" spans="1:15">
      <c r="A237" s="91" t="s">
        <v>282</v>
      </c>
      <c r="B237" s="143" t="s">
        <v>394</v>
      </c>
      <c r="C237" s="99">
        <v>1</v>
      </c>
      <c r="D237" s="129">
        <v>0.15</v>
      </c>
      <c r="E237" s="83">
        <f t="shared" ref="E237" si="35">C237*F237</f>
        <v>2.4739679999999997E-9</v>
      </c>
      <c r="F237" s="140">
        <f t="shared" ref="F237" si="36">G237*H237*I237*J237*K237*L237*M237*N237</f>
        <v>2.4739679999999997E-9</v>
      </c>
      <c r="G237" s="129">
        <f>0.037*10^-6</f>
        <v>3.6999999999999994E-8</v>
      </c>
      <c r="H237" s="141">
        <v>0.39800000000000002</v>
      </c>
      <c r="I237" s="142">
        <v>1</v>
      </c>
      <c r="J237" s="142">
        <f>0.7</f>
        <v>0.7</v>
      </c>
      <c r="K237" s="142">
        <v>1</v>
      </c>
      <c r="L237" s="24">
        <v>4</v>
      </c>
      <c r="M237" s="24">
        <f t="shared" si="33"/>
        <v>0.3</v>
      </c>
      <c r="N237" s="24">
        <v>0.2</v>
      </c>
      <c r="O237" s="28">
        <v>36</v>
      </c>
    </row>
    <row r="238" spans="1:15">
      <c r="A238" s="91" t="s">
        <v>283</v>
      </c>
      <c r="B238" s="31" t="s">
        <v>368</v>
      </c>
      <c r="C238" s="99">
        <v>1</v>
      </c>
      <c r="D238" s="129">
        <v>0.1</v>
      </c>
      <c r="E238" s="83">
        <f t="shared" ref="E238:E242" si="37">C238*F238</f>
        <v>1.0487567999999999E-10</v>
      </c>
      <c r="F238" s="20">
        <f t="shared" ref="F238:F242" si="38">G238*H238*I238*J238*K238*L238*M238*N238</f>
        <v>1.0487567999999999E-10</v>
      </c>
      <c r="G238" s="28">
        <f t="shared" si="32"/>
        <v>4.9000000000000002E-8</v>
      </c>
      <c r="H238" s="126">
        <v>0.36399999999999999</v>
      </c>
      <c r="I238" s="24">
        <v>0.7</v>
      </c>
      <c r="J238" s="24">
        <f>0.7</f>
        <v>0.7</v>
      </c>
      <c r="K238" s="24">
        <v>0.05</v>
      </c>
      <c r="L238" s="24">
        <v>4</v>
      </c>
      <c r="M238" s="24">
        <f t="shared" si="33"/>
        <v>0.3</v>
      </c>
      <c r="N238" s="24">
        <v>0.2</v>
      </c>
      <c r="O238" s="28">
        <v>33</v>
      </c>
    </row>
    <row r="239" spans="1:15">
      <c r="A239" s="91" t="s">
        <v>284</v>
      </c>
      <c r="B239" s="31" t="s">
        <v>376</v>
      </c>
      <c r="C239" s="99">
        <v>1</v>
      </c>
      <c r="D239" s="129">
        <v>0.1</v>
      </c>
      <c r="E239" s="83">
        <f t="shared" si="37"/>
        <v>1.0487567999999999E-10</v>
      </c>
      <c r="F239" s="20">
        <f t="shared" si="38"/>
        <v>1.0487567999999999E-10</v>
      </c>
      <c r="G239" s="28">
        <f t="shared" si="32"/>
        <v>4.9000000000000002E-8</v>
      </c>
      <c r="H239" s="126">
        <v>0.36399999999999999</v>
      </c>
      <c r="I239" s="24">
        <v>0.7</v>
      </c>
      <c r="J239" s="24">
        <f t="shared" ref="J239:J242" si="39">0.7</f>
        <v>0.7</v>
      </c>
      <c r="K239" s="24">
        <v>0.05</v>
      </c>
      <c r="L239" s="24">
        <v>4</v>
      </c>
      <c r="M239" s="24">
        <f t="shared" si="33"/>
        <v>0.3</v>
      </c>
      <c r="N239" s="24">
        <v>0.2</v>
      </c>
      <c r="O239" s="28">
        <v>33</v>
      </c>
    </row>
    <row r="240" spans="1:15">
      <c r="A240" s="91" t="s">
        <v>285</v>
      </c>
      <c r="B240" s="31" t="s">
        <v>395</v>
      </c>
      <c r="C240" s="99">
        <v>1</v>
      </c>
      <c r="D240" s="129">
        <v>0.1</v>
      </c>
      <c r="E240" s="83">
        <f t="shared" si="37"/>
        <v>1.0487567999999999E-10</v>
      </c>
      <c r="F240" s="20">
        <f t="shared" si="38"/>
        <v>1.0487567999999999E-10</v>
      </c>
      <c r="G240" s="28">
        <f t="shared" si="32"/>
        <v>4.9000000000000002E-8</v>
      </c>
      <c r="H240" s="126">
        <v>0.36399999999999999</v>
      </c>
      <c r="I240" s="24">
        <v>0.7</v>
      </c>
      <c r="J240" s="24">
        <f t="shared" si="39"/>
        <v>0.7</v>
      </c>
      <c r="K240" s="24">
        <v>0.05</v>
      </c>
      <c r="L240" s="24">
        <v>4</v>
      </c>
      <c r="M240" s="24">
        <f t="shared" si="33"/>
        <v>0.3</v>
      </c>
      <c r="N240" s="24">
        <v>0.2</v>
      </c>
      <c r="O240" s="28">
        <v>33</v>
      </c>
    </row>
    <row r="241" spans="1:15">
      <c r="A241" s="91" t="s">
        <v>352</v>
      </c>
      <c r="B241" s="31" t="s">
        <v>396</v>
      </c>
      <c r="C241" s="99">
        <v>1</v>
      </c>
      <c r="D241" s="129">
        <v>0.1</v>
      </c>
      <c r="E241" s="83">
        <f t="shared" si="37"/>
        <v>1.0574003999999999E-10</v>
      </c>
      <c r="F241" s="20">
        <f t="shared" si="38"/>
        <v>1.0574003999999999E-10</v>
      </c>
      <c r="G241" s="28">
        <f t="shared" si="32"/>
        <v>4.9000000000000002E-8</v>
      </c>
      <c r="H241" s="126">
        <v>0.36699999999999999</v>
      </c>
      <c r="I241" s="24">
        <v>0.7</v>
      </c>
      <c r="J241" s="24">
        <f t="shared" si="39"/>
        <v>0.7</v>
      </c>
      <c r="K241" s="24">
        <v>0.05</v>
      </c>
      <c r="L241" s="24">
        <v>4</v>
      </c>
      <c r="M241" s="24">
        <f t="shared" si="33"/>
        <v>0.3</v>
      </c>
      <c r="N241" s="24">
        <v>0.2</v>
      </c>
      <c r="O241" s="28">
        <v>34</v>
      </c>
    </row>
    <row r="242" spans="1:15">
      <c r="A242" s="91" t="s">
        <v>353</v>
      </c>
      <c r="B242" s="31" t="s">
        <v>397</v>
      </c>
      <c r="C242" s="99">
        <v>1</v>
      </c>
      <c r="D242" s="129">
        <v>0.1</v>
      </c>
      <c r="E242" s="83">
        <f t="shared" si="37"/>
        <v>1.0631628000000002E-10</v>
      </c>
      <c r="F242" s="20">
        <f t="shared" si="38"/>
        <v>1.0631628000000002E-10</v>
      </c>
      <c r="G242" s="28">
        <f>0.049*10^-6</f>
        <v>4.9000000000000002E-8</v>
      </c>
      <c r="H242" s="126">
        <v>0.36899999999999999</v>
      </c>
      <c r="I242" s="24">
        <v>0.7</v>
      </c>
      <c r="J242" s="24">
        <f t="shared" si="39"/>
        <v>0.7</v>
      </c>
      <c r="K242" s="24">
        <v>0.05</v>
      </c>
      <c r="L242" s="24">
        <v>4</v>
      </c>
      <c r="M242" s="24">
        <f>0.3</f>
        <v>0.3</v>
      </c>
      <c r="N242" s="24">
        <v>0.2</v>
      </c>
      <c r="O242" s="28">
        <v>35</v>
      </c>
    </row>
    <row r="243" spans="1:15" ht="15" thickBot="1"/>
    <row r="244" spans="1:15" ht="15" thickBot="1">
      <c r="D244" s="128" t="s">
        <v>75</v>
      </c>
      <c r="E244" s="105">
        <f>SUM(E199:E242)</f>
        <v>2.7977900159999996E-8</v>
      </c>
    </row>
    <row r="247" spans="1:15">
      <c r="A247" s="34" t="s">
        <v>84</v>
      </c>
      <c r="B247" s="34"/>
    </row>
    <row r="248" spans="1:15">
      <c r="A248" s="11" t="s">
        <v>413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</row>
    <row r="250" spans="1:15">
      <c r="A250" s="7" t="s">
        <v>16</v>
      </c>
      <c r="B250" s="11" t="s">
        <v>37</v>
      </c>
      <c r="C250" s="15"/>
      <c r="E250" s="11"/>
      <c r="F250" s="11"/>
      <c r="G250" s="11"/>
      <c r="H250" s="1"/>
      <c r="I250" s="34">
        <f>0.0019*10^-6</f>
        <v>1.9000000000000001E-9</v>
      </c>
      <c r="J250" s="56" t="s">
        <v>114</v>
      </c>
      <c r="K250" s="1"/>
    </row>
    <row r="251" spans="1:15">
      <c r="A251" s="22" t="s">
        <v>47</v>
      </c>
      <c r="B251" s="11" t="s">
        <v>85</v>
      </c>
      <c r="C251" s="26"/>
      <c r="D251" s="11"/>
      <c r="E251" s="11"/>
      <c r="F251" s="11"/>
      <c r="G251" s="1"/>
      <c r="H251" s="1"/>
      <c r="I251" s="1"/>
      <c r="J251" s="1"/>
      <c r="K251" s="1"/>
    </row>
    <row r="252" spans="1:15">
      <c r="A252" s="22" t="s">
        <v>6</v>
      </c>
      <c r="B252" s="11" t="s">
        <v>32</v>
      </c>
      <c r="C252" s="12"/>
      <c r="D252" s="12"/>
      <c r="E252" s="12"/>
      <c r="F252" s="12"/>
      <c r="I252" s="1"/>
      <c r="J252" s="1"/>
      <c r="K252" s="1"/>
    </row>
    <row r="253" spans="1:15">
      <c r="A253" s="22" t="s">
        <v>31</v>
      </c>
      <c r="B253" s="11" t="s">
        <v>33</v>
      </c>
      <c r="C253" s="12"/>
      <c r="D253" s="12"/>
      <c r="E253" s="12"/>
      <c r="F253" s="12"/>
      <c r="G253" s="12"/>
      <c r="H253" s="12"/>
      <c r="I253" s="12"/>
      <c r="J253" s="12"/>
      <c r="K253" s="3"/>
    </row>
    <row r="254" spans="1:15">
      <c r="A254" s="22" t="s">
        <v>7</v>
      </c>
      <c r="B254" s="11" t="s">
        <v>52</v>
      </c>
      <c r="F254" s="1"/>
      <c r="G254" s="1"/>
      <c r="H254" s="1"/>
      <c r="I254" s="1"/>
      <c r="J254" s="1"/>
    </row>
    <row r="255" spans="1:15">
      <c r="A255" s="22" t="s">
        <v>24</v>
      </c>
      <c r="B255" s="11" t="s">
        <v>35</v>
      </c>
      <c r="C255" s="12"/>
      <c r="D255" s="12"/>
      <c r="K255" s="12"/>
    </row>
    <row r="256" spans="1:15">
      <c r="A256" s="22" t="s">
        <v>236</v>
      </c>
      <c r="B256" s="11" t="s">
        <v>297</v>
      </c>
      <c r="C256" s="12"/>
      <c r="D256" s="12"/>
      <c r="K256" s="12"/>
    </row>
    <row r="257" spans="1:18">
      <c r="K257" s="3"/>
    </row>
    <row r="258" spans="1:18">
      <c r="A258" s="61" t="s">
        <v>151</v>
      </c>
      <c r="B258" s="4" t="s">
        <v>1</v>
      </c>
      <c r="C258" s="4" t="s">
        <v>2</v>
      </c>
      <c r="D258" s="44" t="s">
        <v>86</v>
      </c>
      <c r="E258" s="6" t="s">
        <v>196</v>
      </c>
      <c r="F258" s="6" t="s">
        <v>15</v>
      </c>
      <c r="G258" s="6" t="s">
        <v>16</v>
      </c>
      <c r="H258" s="4" t="s">
        <v>47</v>
      </c>
      <c r="I258" s="4" t="s">
        <v>7</v>
      </c>
      <c r="J258" s="4" t="s">
        <v>6</v>
      </c>
      <c r="K258" s="4" t="s">
        <v>24</v>
      </c>
      <c r="L258" s="4" t="s">
        <v>235</v>
      </c>
    </row>
    <row r="259" spans="1:18">
      <c r="A259" s="62" t="s">
        <v>228</v>
      </c>
      <c r="B259" s="45" t="s">
        <v>410</v>
      </c>
      <c r="C259" s="27">
        <v>1</v>
      </c>
      <c r="D259" s="28" t="s">
        <v>87</v>
      </c>
      <c r="E259" s="83">
        <f>C259*F259</f>
        <v>1.5716800000000001E-9</v>
      </c>
      <c r="F259" s="30">
        <f>G259*H259*I259*J259*K259</f>
        <v>1.5716800000000001E-9</v>
      </c>
      <c r="G259" s="28">
        <f>0.0019*10^-6</f>
        <v>1.9000000000000001E-9</v>
      </c>
      <c r="H259" s="126">
        <v>1.034</v>
      </c>
      <c r="I259" s="24">
        <f>1</f>
        <v>1</v>
      </c>
      <c r="J259" s="24">
        <v>4</v>
      </c>
      <c r="K259" s="28">
        <v>0.2</v>
      </c>
      <c r="L259" s="24">
        <v>30</v>
      </c>
    </row>
    <row r="260" spans="1:18">
      <c r="A260" s="62" t="s">
        <v>229</v>
      </c>
      <c r="B260" s="45" t="s">
        <v>103</v>
      </c>
      <c r="C260" s="27">
        <v>1</v>
      </c>
      <c r="D260" s="28" t="s">
        <v>87</v>
      </c>
      <c r="E260" s="83">
        <f>C260*F260</f>
        <v>1.62032E-9</v>
      </c>
      <c r="F260" s="30">
        <f>G260*H260*I260*J260*K260</f>
        <v>1.62032E-9</v>
      </c>
      <c r="G260" s="28">
        <f>0.0019*10^-6</f>
        <v>1.9000000000000001E-9</v>
      </c>
      <c r="H260" s="126">
        <v>1.0660000000000001</v>
      </c>
      <c r="I260" s="24">
        <f>1</f>
        <v>1</v>
      </c>
      <c r="J260" s="24">
        <v>4</v>
      </c>
      <c r="K260" s="28">
        <v>0.2</v>
      </c>
      <c r="L260" s="24">
        <v>35</v>
      </c>
    </row>
    <row r="261" spans="1:18">
      <c r="A261" s="62" t="s">
        <v>230</v>
      </c>
      <c r="B261" s="45" t="s">
        <v>411</v>
      </c>
      <c r="C261" s="27">
        <v>1</v>
      </c>
      <c r="D261" s="28">
        <v>105</v>
      </c>
      <c r="E261" s="83">
        <f>C261*F261</f>
        <v>1.6537600000000001E-9</v>
      </c>
      <c r="F261" s="30">
        <f>G261*H261*I261*J261*K261</f>
        <v>1.6537600000000001E-9</v>
      </c>
      <c r="G261" s="28">
        <f>0.0019*10^-6</f>
        <v>1.9000000000000001E-9</v>
      </c>
      <c r="H261" s="126">
        <v>1.0880000000000001</v>
      </c>
      <c r="I261" s="24">
        <f>1</f>
        <v>1</v>
      </c>
      <c r="J261" s="24">
        <v>4</v>
      </c>
      <c r="K261" s="28">
        <v>0.2</v>
      </c>
      <c r="L261" s="24">
        <v>38</v>
      </c>
    </row>
    <row r="262" spans="1:18">
      <c r="A262" s="62" t="s">
        <v>231</v>
      </c>
      <c r="B262" s="45" t="s">
        <v>412</v>
      </c>
      <c r="C262" s="27">
        <v>1</v>
      </c>
      <c r="D262" s="28" t="s">
        <v>87</v>
      </c>
      <c r="E262" s="83">
        <f>C262*F262</f>
        <v>1.7175999999999999E-9</v>
      </c>
      <c r="F262" s="30">
        <f>G262*H262*I262*J262*K262</f>
        <v>1.7175999999999999E-9</v>
      </c>
      <c r="G262" s="28">
        <f>0.0019*10^-6</f>
        <v>1.9000000000000001E-9</v>
      </c>
      <c r="H262" s="126">
        <v>1.1299999999999999</v>
      </c>
      <c r="I262" s="24">
        <f>1</f>
        <v>1</v>
      </c>
      <c r="J262" s="24">
        <v>4</v>
      </c>
      <c r="K262" s="28">
        <v>0.2</v>
      </c>
      <c r="L262" s="24">
        <v>43</v>
      </c>
    </row>
    <row r="263" spans="1:18" ht="15" thickBot="1">
      <c r="E263" s="48"/>
    </row>
    <row r="264" spans="1:18" ht="15" thickBot="1">
      <c r="D264" s="128" t="s">
        <v>75</v>
      </c>
      <c r="E264" s="122">
        <f>SUM(E259:E262)</f>
        <v>6.5633600000000004E-9</v>
      </c>
    </row>
    <row r="268" spans="1:18">
      <c r="A268" s="146" t="s">
        <v>60</v>
      </c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</row>
    <row r="270" spans="1:18">
      <c r="A270" s="34" t="s">
        <v>61</v>
      </c>
      <c r="B270" s="34"/>
      <c r="C270" s="34"/>
      <c r="D270" s="34"/>
      <c r="E270" s="34"/>
    </row>
    <row r="271" spans="1:18">
      <c r="A271" s="11" t="s">
        <v>232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2"/>
      <c r="L271" s="12"/>
      <c r="M271" s="12"/>
      <c r="N271" s="12"/>
    </row>
    <row r="273" spans="1:16">
      <c r="A273" s="7" t="s">
        <v>17</v>
      </c>
      <c r="B273" s="11" t="s">
        <v>3</v>
      </c>
      <c r="C273" s="15"/>
      <c r="E273" s="11"/>
      <c r="F273" s="11"/>
      <c r="G273" s="11"/>
      <c r="H273" s="34">
        <f>0.039*10^-6</f>
        <v>3.8999999999999998E-8</v>
      </c>
      <c r="I273" s="56" t="s">
        <v>110</v>
      </c>
      <c r="J273" s="11"/>
      <c r="K273" s="12"/>
      <c r="L273" s="12"/>
      <c r="M273" s="12"/>
      <c r="N273" s="12"/>
      <c r="O273" s="12"/>
      <c r="P273" s="12"/>
    </row>
    <row r="274" spans="1:16">
      <c r="A274" s="22" t="s">
        <v>13</v>
      </c>
      <c r="B274" s="11" t="s">
        <v>62</v>
      </c>
      <c r="C274" s="26"/>
      <c r="D274" s="11"/>
      <c r="E274" s="11"/>
      <c r="F274" s="11"/>
      <c r="G274" s="1"/>
      <c r="H274" s="1"/>
      <c r="I274" s="1"/>
      <c r="J274" s="1"/>
    </row>
    <row r="275" spans="1:16">
      <c r="A275" s="22" t="s">
        <v>63</v>
      </c>
      <c r="B275" s="11" t="s">
        <v>66</v>
      </c>
      <c r="C275" s="12"/>
      <c r="I275" s="1"/>
      <c r="J275" s="1"/>
    </row>
    <row r="276" spans="1:16">
      <c r="A276" s="22" t="s">
        <v>12</v>
      </c>
      <c r="B276" s="11" t="s">
        <v>64</v>
      </c>
      <c r="C276" s="12"/>
      <c r="D276" s="11"/>
      <c r="E276" s="11"/>
      <c r="F276" s="11"/>
      <c r="G276" s="1"/>
      <c r="H276" s="1"/>
      <c r="I276" s="1"/>
      <c r="J276" s="1"/>
    </row>
    <row r="277" spans="1:16">
      <c r="A277" s="23" t="s">
        <v>65</v>
      </c>
      <c r="B277" s="11" t="s">
        <v>67</v>
      </c>
      <c r="C277" s="11"/>
      <c r="D277" s="1"/>
      <c r="E277" s="1"/>
      <c r="F277" s="1"/>
      <c r="G277" s="1"/>
      <c r="H277" s="1"/>
      <c r="I277" s="1"/>
      <c r="J277" s="1"/>
    </row>
    <row r="278" spans="1:16">
      <c r="A278" s="22" t="s">
        <v>31</v>
      </c>
      <c r="B278" s="11" t="s">
        <v>33</v>
      </c>
      <c r="C278" s="12"/>
      <c r="D278" s="12"/>
      <c r="E278" s="12"/>
      <c r="F278" s="12"/>
      <c r="G278" s="12"/>
      <c r="H278" s="12"/>
      <c r="I278" s="12"/>
      <c r="J278" s="12"/>
    </row>
    <row r="279" spans="1:16">
      <c r="A279" s="22" t="s">
        <v>7</v>
      </c>
      <c r="B279" s="11" t="s">
        <v>52</v>
      </c>
      <c r="F279" s="1"/>
      <c r="G279" s="1"/>
      <c r="H279" s="1"/>
      <c r="I279" s="1"/>
      <c r="J279" s="1"/>
    </row>
    <row r="280" spans="1:16">
      <c r="A280" s="22" t="s">
        <v>24</v>
      </c>
      <c r="B280" s="11" t="s">
        <v>35</v>
      </c>
      <c r="C280" s="12"/>
      <c r="D280" s="12"/>
    </row>
    <row r="281" spans="1:16">
      <c r="A281" s="22" t="s">
        <v>6</v>
      </c>
      <c r="B281" s="11" t="s">
        <v>32</v>
      </c>
      <c r="C281" s="12"/>
      <c r="D281" s="12"/>
      <c r="E281" s="12"/>
      <c r="F281" s="12"/>
    </row>
    <row r="282" spans="1:16">
      <c r="A282" s="22" t="s">
        <v>236</v>
      </c>
      <c r="B282" s="11" t="s">
        <v>297</v>
      </c>
      <c r="C282" s="12"/>
      <c r="D282" s="12"/>
      <c r="E282" s="12"/>
      <c r="F282" s="12"/>
    </row>
    <row r="284" spans="1:16">
      <c r="A284" s="61" t="s">
        <v>151</v>
      </c>
      <c r="B284" s="4" t="s">
        <v>1</v>
      </c>
      <c r="C284" s="4" t="s">
        <v>2</v>
      </c>
      <c r="D284" s="5" t="s">
        <v>74</v>
      </c>
      <c r="E284" s="5" t="s">
        <v>73</v>
      </c>
      <c r="F284" s="6" t="s">
        <v>196</v>
      </c>
      <c r="G284" s="6" t="s">
        <v>15</v>
      </c>
      <c r="H284" s="6" t="s">
        <v>17</v>
      </c>
      <c r="I284" s="4" t="s">
        <v>13</v>
      </c>
      <c r="J284" s="4" t="s">
        <v>12</v>
      </c>
      <c r="K284" s="4" t="s">
        <v>11</v>
      </c>
      <c r="L284" s="4" t="s">
        <v>7</v>
      </c>
      <c r="M284" s="4" t="s">
        <v>6</v>
      </c>
      <c r="N284" s="4" t="s">
        <v>24</v>
      </c>
      <c r="O284" s="4" t="s">
        <v>235</v>
      </c>
    </row>
    <row r="285" spans="1:16">
      <c r="A285" s="62" t="s">
        <v>287</v>
      </c>
      <c r="B285" s="31" t="s">
        <v>68</v>
      </c>
      <c r="C285" s="33">
        <v>1</v>
      </c>
      <c r="D285" s="28">
        <v>0.33</v>
      </c>
      <c r="E285" s="28">
        <v>0.1</v>
      </c>
      <c r="F285" s="83">
        <f>C285*G285</f>
        <v>4.4553599999999998E-9</v>
      </c>
      <c r="G285" s="30">
        <f>H285*I285*J285*L285*M285*N285*K285</f>
        <v>4.4553599999999998E-9</v>
      </c>
      <c r="H285" s="28">
        <f>0.039*10^-6</f>
        <v>3.8999999999999998E-8</v>
      </c>
      <c r="I285" s="24">
        <v>0.13600000000000001</v>
      </c>
      <c r="J285" s="24">
        <v>1.5</v>
      </c>
      <c r="K285" s="24">
        <v>0.7</v>
      </c>
      <c r="L285" s="24">
        <v>1</v>
      </c>
      <c r="M285" s="24">
        <v>4</v>
      </c>
      <c r="N285" s="28">
        <v>0.2</v>
      </c>
      <c r="O285" s="24">
        <v>30</v>
      </c>
    </row>
    <row r="286" spans="1:16">
      <c r="A286" s="62" t="s">
        <v>414</v>
      </c>
      <c r="B286" s="31" t="s">
        <v>68</v>
      </c>
      <c r="C286" s="33">
        <v>1</v>
      </c>
      <c r="D286" s="28">
        <v>0.15</v>
      </c>
      <c r="E286" s="28">
        <v>0.1</v>
      </c>
      <c r="F286" s="83">
        <f>C286*G286</f>
        <v>4.4553599999999998E-9</v>
      </c>
      <c r="G286" s="30">
        <f>H286*I286*J286*L286*M286*N286*K286</f>
        <v>4.4553599999999998E-9</v>
      </c>
      <c r="H286" s="28">
        <f>0.039*10^-6</f>
        <v>3.8999999999999998E-8</v>
      </c>
      <c r="I286" s="24">
        <v>0.13600000000000001</v>
      </c>
      <c r="J286" s="24">
        <v>1.5</v>
      </c>
      <c r="K286" s="24">
        <v>0.7</v>
      </c>
      <c r="L286" s="24">
        <v>1</v>
      </c>
      <c r="M286" s="24">
        <v>4</v>
      </c>
      <c r="N286" s="28">
        <v>0.2</v>
      </c>
      <c r="O286" s="24">
        <v>30</v>
      </c>
    </row>
    <row r="287" spans="1:16" ht="15" thickBot="1"/>
    <row r="288" spans="1:16" ht="15" thickBot="1">
      <c r="E288" s="128" t="s">
        <v>75</v>
      </c>
      <c r="F288" s="122">
        <f>SUM(F285:F286)</f>
        <v>8.9107199999999996E-9</v>
      </c>
    </row>
    <row r="289" spans="1:18">
      <c r="E289" s="35"/>
    </row>
    <row r="290" spans="1:18">
      <c r="E290" s="35"/>
    </row>
    <row r="291" spans="1:18">
      <c r="A291" s="34" t="s">
        <v>70</v>
      </c>
      <c r="B291" s="34"/>
      <c r="C291" s="34"/>
    </row>
    <row r="292" spans="1:18">
      <c r="A292" s="11" t="s">
        <v>416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2"/>
      <c r="L292" s="12"/>
      <c r="M292" s="12"/>
      <c r="N292" s="12"/>
    </row>
    <row r="293" spans="1:18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</row>
    <row r="294" spans="1:18">
      <c r="A294" s="7" t="s">
        <v>15</v>
      </c>
      <c r="B294" s="11" t="s">
        <v>239</v>
      </c>
      <c r="I294" s="34">
        <f>0.001*10^-6</f>
        <v>1.0000000000000001E-9</v>
      </c>
      <c r="J294" s="11" t="s">
        <v>286</v>
      </c>
      <c r="K294" s="12"/>
      <c r="L294" s="12"/>
      <c r="M294" s="12"/>
      <c r="N294" s="12"/>
      <c r="P294" s="12"/>
      <c r="Q294" s="12"/>
      <c r="R294" s="12"/>
    </row>
    <row r="295" spans="1:18">
      <c r="A295" s="22" t="s">
        <v>236</v>
      </c>
      <c r="B295" s="11" t="s">
        <v>297</v>
      </c>
      <c r="I295" s="34"/>
      <c r="J295" s="11"/>
      <c r="K295" s="12"/>
      <c r="L295" s="12"/>
      <c r="M295" s="12"/>
      <c r="N295" s="12"/>
      <c r="P295" s="12"/>
      <c r="Q295" s="12"/>
      <c r="R295" s="12"/>
    </row>
    <row r="297" spans="1:18">
      <c r="A297" s="61" t="s">
        <v>151</v>
      </c>
      <c r="B297" s="4" t="s">
        <v>1</v>
      </c>
      <c r="C297" s="4" t="s">
        <v>2</v>
      </c>
      <c r="D297" s="5" t="s">
        <v>80</v>
      </c>
      <c r="E297" s="5" t="s">
        <v>74</v>
      </c>
      <c r="F297" s="6" t="s">
        <v>196</v>
      </c>
      <c r="G297" s="6" t="s">
        <v>15</v>
      </c>
      <c r="H297" s="42" t="s">
        <v>235</v>
      </c>
    </row>
    <row r="298" spans="1:18">
      <c r="A298" s="62" t="s">
        <v>415</v>
      </c>
      <c r="B298" s="45" t="s">
        <v>71</v>
      </c>
      <c r="C298" s="27">
        <v>1</v>
      </c>
      <c r="D298" s="28">
        <v>0.1</v>
      </c>
      <c r="E298" s="28">
        <v>0.15</v>
      </c>
      <c r="F298" s="29">
        <f>C298*G298</f>
        <v>1.0000000000000001E-9</v>
      </c>
      <c r="G298" s="28">
        <f>0.001*10^-6</f>
        <v>1.0000000000000001E-9</v>
      </c>
      <c r="H298" s="24">
        <v>35</v>
      </c>
    </row>
    <row r="299" spans="1:18" ht="15" thickBot="1"/>
    <row r="300" spans="1:18" ht="15" thickBot="1">
      <c r="E300" s="128" t="s">
        <v>75</v>
      </c>
      <c r="F300" s="121">
        <f>SUM(F298:F298)</f>
        <v>1.0000000000000001E-9</v>
      </c>
    </row>
    <row r="302" spans="1:18">
      <c r="A302" s="34" t="s">
        <v>81</v>
      </c>
      <c r="B302" s="34"/>
      <c r="C302" s="34"/>
    </row>
    <row r="303" spans="1:18">
      <c r="A303" s="11" t="s">
        <v>418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</row>
    <row r="304" spans="1:18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2"/>
      <c r="L304" s="12"/>
      <c r="M304" s="12"/>
      <c r="N304" s="12"/>
    </row>
    <row r="305" spans="1:17">
      <c r="A305" s="7" t="s">
        <v>16</v>
      </c>
      <c r="B305" s="11" t="s">
        <v>37</v>
      </c>
      <c r="C305" s="15"/>
      <c r="E305" s="11"/>
      <c r="F305" s="11"/>
      <c r="H305" s="1"/>
      <c r="I305" s="34">
        <f>0.091*10^-6</f>
        <v>9.0999999999999994E-8</v>
      </c>
      <c r="J305" s="56" t="s">
        <v>113</v>
      </c>
      <c r="K305" s="11"/>
      <c r="L305" s="12"/>
      <c r="M305" s="12"/>
      <c r="N305" s="12"/>
      <c r="O305" s="12"/>
      <c r="P305" s="12"/>
      <c r="Q305" s="12"/>
    </row>
    <row r="306" spans="1:17">
      <c r="A306" s="22" t="s">
        <v>236</v>
      </c>
      <c r="B306" s="11" t="s">
        <v>297</v>
      </c>
      <c r="C306" s="15"/>
      <c r="E306" s="11"/>
      <c r="F306" s="11"/>
      <c r="H306" s="1"/>
      <c r="I306" s="34"/>
      <c r="J306" s="56"/>
      <c r="K306" s="11"/>
      <c r="L306" s="12"/>
      <c r="M306" s="12"/>
      <c r="N306" s="12"/>
      <c r="O306" s="12"/>
      <c r="P306" s="12"/>
      <c r="Q306" s="12"/>
    </row>
    <row r="308" spans="1:17">
      <c r="A308" s="61" t="s">
        <v>151</v>
      </c>
      <c r="B308" s="4" t="s">
        <v>1</v>
      </c>
      <c r="C308" s="4" t="s">
        <v>2</v>
      </c>
      <c r="D308" s="5" t="s">
        <v>80</v>
      </c>
      <c r="E308" s="5" t="s">
        <v>74</v>
      </c>
      <c r="F308" s="6" t="s">
        <v>196</v>
      </c>
      <c r="G308" s="6" t="s">
        <v>15</v>
      </c>
      <c r="H308" s="6" t="s">
        <v>16</v>
      </c>
      <c r="I308" s="4" t="s">
        <v>13</v>
      </c>
      <c r="J308" s="4" t="s">
        <v>63</v>
      </c>
      <c r="K308" s="4" t="s">
        <v>12</v>
      </c>
      <c r="L308" s="4" t="s">
        <v>11</v>
      </c>
      <c r="M308" s="4" t="s">
        <v>7</v>
      </c>
      <c r="N308" s="4" t="s">
        <v>6</v>
      </c>
      <c r="O308" s="4" t="s">
        <v>24</v>
      </c>
      <c r="P308" s="42" t="s">
        <v>235</v>
      </c>
    </row>
    <row r="309" spans="1:17">
      <c r="A309" s="62" t="s">
        <v>194</v>
      </c>
      <c r="B309" s="45" t="s">
        <v>417</v>
      </c>
      <c r="C309" s="27">
        <v>1</v>
      </c>
      <c r="D309" s="28">
        <v>0.1</v>
      </c>
      <c r="E309" s="28">
        <v>0.17</v>
      </c>
      <c r="F309" s="83">
        <f t="shared" ref="F309" si="40">C309*G309</f>
        <v>1.6266431999999997E-9</v>
      </c>
      <c r="G309" s="84">
        <f>H309*I309*J309*K309*M309*N309*O309*L309</f>
        <v>1.6266431999999997E-9</v>
      </c>
      <c r="H309" s="28">
        <f t="shared" ref="H309:H316" si="41">0.091*10^-6</f>
        <v>9.0999999999999994E-8</v>
      </c>
      <c r="I309" s="24">
        <v>5.3199999999999997E-2</v>
      </c>
      <c r="J309" s="24">
        <v>0.6</v>
      </c>
      <c r="K309" s="24">
        <v>1</v>
      </c>
      <c r="L309" s="24">
        <v>0.7</v>
      </c>
      <c r="M309" s="24">
        <v>1</v>
      </c>
      <c r="N309" s="24">
        <v>4</v>
      </c>
      <c r="O309" s="28">
        <v>0.2</v>
      </c>
      <c r="P309" s="24">
        <v>30</v>
      </c>
    </row>
    <row r="310" spans="1:17">
      <c r="A310" s="62" t="s">
        <v>288</v>
      </c>
      <c r="B310" s="45" t="s">
        <v>417</v>
      </c>
      <c r="C310" s="27">
        <v>1</v>
      </c>
      <c r="D310" s="28">
        <v>0.1</v>
      </c>
      <c r="E310" s="28">
        <v>0.27</v>
      </c>
      <c r="F310" s="83">
        <f t="shared" ref="F310:F315" si="42">C310*G310</f>
        <v>1.6266431999999997E-9</v>
      </c>
      <c r="G310" s="84">
        <f>H310*I310*J310*K310*M310*N310*O310*L310</f>
        <v>1.6266431999999997E-9</v>
      </c>
      <c r="H310" s="28">
        <f t="shared" si="41"/>
        <v>9.0999999999999994E-8</v>
      </c>
      <c r="I310" s="24">
        <v>5.3199999999999997E-2</v>
      </c>
      <c r="J310" s="24">
        <v>0.6</v>
      </c>
      <c r="K310" s="24">
        <v>1</v>
      </c>
      <c r="L310" s="24">
        <v>0.7</v>
      </c>
      <c r="M310" s="24">
        <v>1</v>
      </c>
      <c r="N310" s="24">
        <v>4</v>
      </c>
      <c r="O310" s="28">
        <v>0.2</v>
      </c>
      <c r="P310" s="24">
        <v>30</v>
      </c>
    </row>
    <row r="311" spans="1:17">
      <c r="A311" s="62" t="s">
        <v>289</v>
      </c>
      <c r="B311" s="32" t="s">
        <v>106</v>
      </c>
      <c r="C311" s="27">
        <v>1</v>
      </c>
      <c r="D311" s="28">
        <v>0.1</v>
      </c>
      <c r="E311" s="28">
        <v>0.2</v>
      </c>
      <c r="F311" s="83">
        <f t="shared" si="42"/>
        <v>2.4399647999999998E-9</v>
      </c>
      <c r="G311" s="84">
        <f>H311*I311*J311*K311*M311*N311*O311*L311</f>
        <v>2.4399647999999998E-9</v>
      </c>
      <c r="H311" s="28">
        <f t="shared" si="41"/>
        <v>9.0999999999999994E-8</v>
      </c>
      <c r="I311" s="24">
        <v>5.3199999999999997E-2</v>
      </c>
      <c r="J311" s="24">
        <v>0.6</v>
      </c>
      <c r="K311" s="78">
        <v>1.5</v>
      </c>
      <c r="L311" s="24">
        <v>0.7</v>
      </c>
      <c r="M311" s="24">
        <v>1</v>
      </c>
      <c r="N311" s="24">
        <v>4</v>
      </c>
      <c r="O311" s="28">
        <v>0.2</v>
      </c>
      <c r="P311" s="24">
        <v>30</v>
      </c>
    </row>
    <row r="312" spans="1:17">
      <c r="A312" s="62" t="s">
        <v>290</v>
      </c>
      <c r="B312" s="47" t="s">
        <v>106</v>
      </c>
      <c r="C312" s="102">
        <v>1</v>
      </c>
      <c r="D312" s="28">
        <v>0.1</v>
      </c>
      <c r="E312" s="28">
        <v>0.26</v>
      </c>
      <c r="F312" s="83">
        <f t="shared" si="42"/>
        <v>2.4399647999999998E-9</v>
      </c>
      <c r="G312" s="84">
        <f>H312*I312*J312*K312*M312*N312*O312*L312</f>
        <v>2.4399647999999998E-9</v>
      </c>
      <c r="H312" s="28">
        <f t="shared" si="41"/>
        <v>9.0999999999999994E-8</v>
      </c>
      <c r="I312" s="24">
        <v>5.3199999999999997E-2</v>
      </c>
      <c r="J312" s="24">
        <v>0.6</v>
      </c>
      <c r="K312" s="78">
        <v>1.5</v>
      </c>
      <c r="L312" s="24">
        <v>0.7</v>
      </c>
      <c r="M312" s="24">
        <v>1</v>
      </c>
      <c r="N312" s="24">
        <v>4</v>
      </c>
      <c r="O312" s="28">
        <v>0.2</v>
      </c>
      <c r="P312" s="24">
        <v>30</v>
      </c>
    </row>
    <row r="313" spans="1:17">
      <c r="A313" s="62" t="s">
        <v>422</v>
      </c>
      <c r="B313" s="47" t="s">
        <v>106</v>
      </c>
      <c r="C313" s="102">
        <v>1</v>
      </c>
      <c r="D313" s="77">
        <v>0.1</v>
      </c>
      <c r="E313" s="28">
        <v>0.26</v>
      </c>
      <c r="F313" s="103">
        <f t="shared" si="42"/>
        <v>2.4399647999999994E-9</v>
      </c>
      <c r="G313" s="130">
        <f>H313*I313*K313*M313*N313*O313*L313*J313</f>
        <v>2.4399647999999994E-9</v>
      </c>
      <c r="H313" s="77">
        <f t="shared" si="41"/>
        <v>9.0999999999999994E-8</v>
      </c>
      <c r="I313" s="24">
        <v>5.3199999999999997E-2</v>
      </c>
      <c r="J313" s="24">
        <v>0.6</v>
      </c>
      <c r="K313" s="78">
        <v>1.5</v>
      </c>
      <c r="L313" s="78">
        <v>0.7</v>
      </c>
      <c r="M313" s="78">
        <v>1</v>
      </c>
      <c r="N313" s="78">
        <v>4</v>
      </c>
      <c r="O313" s="77">
        <v>0.2</v>
      </c>
      <c r="P313" s="24">
        <v>30</v>
      </c>
    </row>
    <row r="314" spans="1:17">
      <c r="A314" s="62" t="s">
        <v>423</v>
      </c>
      <c r="B314" s="47" t="s">
        <v>106</v>
      </c>
      <c r="C314" s="27">
        <v>1</v>
      </c>
      <c r="D314" s="77">
        <v>0.1</v>
      </c>
      <c r="E314" s="77">
        <v>0.36</v>
      </c>
      <c r="F314" s="83">
        <f t="shared" si="42"/>
        <v>2.4399647999999994E-9</v>
      </c>
      <c r="G314" s="84">
        <f>H314*K314*M314*N314*O314*L314*I314*J314</f>
        <v>2.4399647999999994E-9</v>
      </c>
      <c r="H314" s="28">
        <f t="shared" si="41"/>
        <v>9.0999999999999994E-8</v>
      </c>
      <c r="I314" s="24">
        <v>5.3199999999999997E-2</v>
      </c>
      <c r="J314" s="24">
        <v>0.6</v>
      </c>
      <c r="K314" s="24">
        <v>1.5</v>
      </c>
      <c r="L314" s="24">
        <v>0.7</v>
      </c>
      <c r="M314" s="24">
        <v>1</v>
      </c>
      <c r="N314" s="24">
        <v>4</v>
      </c>
      <c r="O314" s="28">
        <v>0.2</v>
      </c>
      <c r="P314" s="24">
        <v>30</v>
      </c>
    </row>
    <row r="315" spans="1:17">
      <c r="A315" s="62" t="s">
        <v>424</v>
      </c>
      <c r="B315" s="47" t="s">
        <v>107</v>
      </c>
      <c r="C315" s="27">
        <v>1</v>
      </c>
      <c r="D315" s="28">
        <v>0.1</v>
      </c>
      <c r="E315" s="28">
        <v>0.15</v>
      </c>
      <c r="F315" s="83">
        <f t="shared" si="42"/>
        <v>1.6266431999999997E-9</v>
      </c>
      <c r="G315" s="84">
        <f>H315*I315*J315*K315*M315*N315*O315*L315</f>
        <v>1.6266431999999997E-9</v>
      </c>
      <c r="H315" s="28">
        <f t="shared" si="41"/>
        <v>9.0999999999999994E-8</v>
      </c>
      <c r="I315" s="24">
        <v>5.3199999999999997E-2</v>
      </c>
      <c r="J315" s="24">
        <v>0.6</v>
      </c>
      <c r="K315" s="24">
        <v>1</v>
      </c>
      <c r="L315" s="24">
        <v>0.7</v>
      </c>
      <c r="M315" s="24">
        <v>1</v>
      </c>
      <c r="N315" s="24">
        <v>4</v>
      </c>
      <c r="O315" s="28">
        <v>0.2</v>
      </c>
      <c r="P315" s="24">
        <v>30</v>
      </c>
    </row>
    <row r="316" spans="1:17">
      <c r="A316" s="62" t="s">
        <v>425</v>
      </c>
      <c r="B316" s="47" t="s">
        <v>107</v>
      </c>
      <c r="C316" s="27">
        <v>1</v>
      </c>
      <c r="D316" s="28">
        <v>0.1</v>
      </c>
      <c r="E316" s="28">
        <v>0.15</v>
      </c>
      <c r="F316" s="83">
        <f t="shared" ref="F316" si="43">C316*G316</f>
        <v>1.6266431999999997E-9</v>
      </c>
      <c r="G316" s="84">
        <f>H316*I316*J316*K316*M316*N316*O316*L316</f>
        <v>1.6266431999999997E-9</v>
      </c>
      <c r="H316" s="28">
        <f t="shared" si="41"/>
        <v>9.0999999999999994E-8</v>
      </c>
      <c r="I316" s="24">
        <v>5.3199999999999997E-2</v>
      </c>
      <c r="J316" s="24">
        <v>0.6</v>
      </c>
      <c r="K316" s="24">
        <v>1</v>
      </c>
      <c r="L316" s="24">
        <v>0.7</v>
      </c>
      <c r="M316" s="24">
        <v>1</v>
      </c>
      <c r="N316" s="24">
        <v>4</v>
      </c>
      <c r="O316" s="28">
        <v>0.2</v>
      </c>
      <c r="P316" s="24">
        <v>30</v>
      </c>
    </row>
    <row r="317" spans="1:17" ht="15" thickBot="1">
      <c r="F317" s="48"/>
    </row>
    <row r="318" spans="1:17" ht="15" thickBot="1">
      <c r="E318" s="128" t="s">
        <v>75</v>
      </c>
      <c r="F318" s="87">
        <f>SUM(F309:F316)</f>
        <v>1.6266431999999997E-8</v>
      </c>
    </row>
    <row r="321" spans="1:16">
      <c r="A321" s="34" t="s">
        <v>82</v>
      </c>
      <c r="B321" s="34"/>
    </row>
    <row r="322" spans="1:16">
      <c r="A322" s="11" t="s">
        <v>428</v>
      </c>
      <c r="B322" s="11"/>
      <c r="C322" s="11"/>
      <c r="D322" s="11"/>
      <c r="E322" s="11"/>
      <c r="F322" s="11"/>
      <c r="G322" s="11"/>
      <c r="H322" s="11"/>
      <c r="I322" s="11"/>
      <c r="J322" s="11"/>
    </row>
    <row r="323" spans="1:16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 spans="1:16">
      <c r="A324" s="7" t="s">
        <v>16</v>
      </c>
      <c r="B324" s="11" t="s">
        <v>37</v>
      </c>
      <c r="C324" s="15"/>
      <c r="I324" s="34">
        <f>0.008*10^-6</f>
        <v>8.0000000000000005E-9</v>
      </c>
      <c r="J324" s="56" t="s">
        <v>113</v>
      </c>
    </row>
    <row r="325" spans="1:16">
      <c r="A325" s="22" t="s">
        <v>236</v>
      </c>
      <c r="B325" s="11" t="s">
        <v>297</v>
      </c>
    </row>
    <row r="327" spans="1:16">
      <c r="A327" s="61" t="s">
        <v>151</v>
      </c>
      <c r="B327" s="4" t="s">
        <v>1</v>
      </c>
      <c r="C327" s="4" t="s">
        <v>2</v>
      </c>
      <c r="D327" s="5" t="s">
        <v>80</v>
      </c>
      <c r="E327" s="5" t="s">
        <v>74</v>
      </c>
      <c r="F327" s="6" t="s">
        <v>196</v>
      </c>
      <c r="G327" s="6" t="s">
        <v>15</v>
      </c>
      <c r="H327" s="6" t="s">
        <v>16</v>
      </c>
      <c r="I327" s="4" t="s">
        <v>13</v>
      </c>
      <c r="J327" s="4" t="s">
        <v>63</v>
      </c>
      <c r="K327" s="4" t="s">
        <v>12</v>
      </c>
      <c r="L327" s="4" t="s">
        <v>11</v>
      </c>
      <c r="M327" s="4" t="s">
        <v>7</v>
      </c>
      <c r="N327" s="4" t="s">
        <v>6</v>
      </c>
      <c r="O327" s="4" t="s">
        <v>24</v>
      </c>
      <c r="P327" s="4" t="s">
        <v>235</v>
      </c>
    </row>
    <row r="328" spans="1:16">
      <c r="A328" s="91" t="s">
        <v>192</v>
      </c>
      <c r="B328" s="31" t="s">
        <v>430</v>
      </c>
      <c r="C328" s="27">
        <v>1</v>
      </c>
      <c r="D328" s="28">
        <v>0.1</v>
      </c>
      <c r="E328" s="28">
        <v>0.3</v>
      </c>
      <c r="F328" s="83">
        <f>C328*G328</f>
        <v>1.5859200000000001E-10</v>
      </c>
      <c r="G328" s="84">
        <f>H328*I328*J328*K328*M328*N328*O328*L328</f>
        <v>1.5859200000000001E-10</v>
      </c>
      <c r="H328" s="28">
        <f>0.008*10^-6</f>
        <v>8.0000000000000005E-9</v>
      </c>
      <c r="I328" s="24">
        <v>5.8999999999999997E-2</v>
      </c>
      <c r="J328" s="24">
        <v>0.6</v>
      </c>
      <c r="K328" s="24">
        <v>1</v>
      </c>
      <c r="L328" s="24">
        <v>0.7</v>
      </c>
      <c r="M328" s="24">
        <v>1</v>
      </c>
      <c r="N328" s="24">
        <v>4</v>
      </c>
      <c r="O328" s="28">
        <v>0.2</v>
      </c>
      <c r="P328" s="24">
        <v>35</v>
      </c>
    </row>
    <row r="329" spans="1:16">
      <c r="A329" s="91" t="s">
        <v>426</v>
      </c>
      <c r="B329" s="31" t="s">
        <v>430</v>
      </c>
      <c r="C329" s="27">
        <v>1</v>
      </c>
      <c r="D329" s="28">
        <v>0.1</v>
      </c>
      <c r="E329" s="28">
        <v>0.3</v>
      </c>
      <c r="F329" s="83">
        <f>C329*G329</f>
        <v>2.3788800000000003E-10</v>
      </c>
      <c r="G329" s="84">
        <f>H329*I329*J329*K329*M329*N329*O329*L329</f>
        <v>2.3788800000000003E-10</v>
      </c>
      <c r="H329" s="28">
        <f>0.008*10^-6</f>
        <v>8.0000000000000005E-9</v>
      </c>
      <c r="I329" s="24">
        <v>5.8999999999999997E-2</v>
      </c>
      <c r="J329" s="24">
        <v>0.6</v>
      </c>
      <c r="K329" s="24">
        <v>1.5</v>
      </c>
      <c r="L329" s="24">
        <v>0.7</v>
      </c>
      <c r="M329" s="24">
        <v>1</v>
      </c>
      <c r="N329" s="24">
        <v>4</v>
      </c>
      <c r="O329" s="28">
        <v>0.2</v>
      </c>
      <c r="P329" s="24">
        <v>35</v>
      </c>
    </row>
    <row r="330" spans="1:16">
      <c r="A330" s="144" t="s">
        <v>427</v>
      </c>
      <c r="B330" s="31" t="s">
        <v>429</v>
      </c>
      <c r="C330" s="27">
        <v>1</v>
      </c>
      <c r="D330" s="28">
        <v>0.1</v>
      </c>
      <c r="E330" s="28">
        <v>0.54</v>
      </c>
      <c r="F330" s="83">
        <f>C330*G330</f>
        <v>9.8112000000000002E-10</v>
      </c>
      <c r="G330" s="84">
        <f>H330*I330*J330*K330*M330*N330*O330*L330</f>
        <v>9.8112000000000002E-10</v>
      </c>
      <c r="H330" s="28">
        <f>0.008*10^-6</f>
        <v>8.0000000000000005E-9</v>
      </c>
      <c r="I330" s="24">
        <v>7.2999999999999995E-2</v>
      </c>
      <c r="J330" s="24">
        <v>2</v>
      </c>
      <c r="K330" s="24">
        <v>1.5</v>
      </c>
      <c r="L330" s="24">
        <v>0.7</v>
      </c>
      <c r="M330" s="24">
        <v>1</v>
      </c>
      <c r="N330" s="24">
        <v>4</v>
      </c>
      <c r="O330" s="28">
        <v>0.2</v>
      </c>
      <c r="P330" s="24">
        <v>45</v>
      </c>
    </row>
    <row r="331" spans="1:16" ht="15" thickBot="1">
      <c r="F331" s="104"/>
    </row>
    <row r="332" spans="1:16" ht="15" thickBot="1">
      <c r="E332" s="128" t="s">
        <v>75</v>
      </c>
      <c r="F332" s="54">
        <f>SUM(F328:F330)</f>
        <v>1.3776000000000001E-9</v>
      </c>
    </row>
    <row r="335" spans="1:16">
      <c r="A335" s="34" t="s">
        <v>438</v>
      </c>
      <c r="B335" s="34"/>
      <c r="C335" s="34"/>
    </row>
    <row r="336" spans="1:16">
      <c r="A336" s="11" t="s">
        <v>440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</row>
    <row r="338" spans="1:14">
      <c r="A338" s="7" t="s">
        <v>16</v>
      </c>
      <c r="B338" s="11" t="s">
        <v>37</v>
      </c>
      <c r="I338" s="34">
        <f>0.0041*10^-6</f>
        <v>4.1000000000000003E-9</v>
      </c>
      <c r="J338" s="56" t="s">
        <v>113</v>
      </c>
    </row>
    <row r="339" spans="1:14">
      <c r="A339" s="22" t="s">
        <v>236</v>
      </c>
      <c r="B339" s="11" t="s">
        <v>297</v>
      </c>
      <c r="I339" s="34"/>
      <c r="J339" s="56"/>
    </row>
    <row r="341" spans="1:14">
      <c r="A341" s="4" t="s">
        <v>0</v>
      </c>
      <c r="B341" s="4" t="s">
        <v>1</v>
      </c>
      <c r="C341" s="4" t="s">
        <v>2</v>
      </c>
      <c r="D341" s="5" t="s">
        <v>80</v>
      </c>
      <c r="E341" s="5" t="s">
        <v>8</v>
      </c>
      <c r="F341" s="6" t="s">
        <v>14</v>
      </c>
      <c r="G341" s="6" t="s">
        <v>15</v>
      </c>
      <c r="H341" s="6" t="s">
        <v>16</v>
      </c>
      <c r="I341" s="4" t="s">
        <v>13</v>
      </c>
      <c r="J341" s="4" t="s">
        <v>7</v>
      </c>
      <c r="K341" s="4" t="s">
        <v>6</v>
      </c>
      <c r="L341" s="4" t="s">
        <v>24</v>
      </c>
      <c r="M341" s="132" t="s">
        <v>235</v>
      </c>
    </row>
    <row r="342" spans="1:14">
      <c r="A342" s="120" t="s">
        <v>441</v>
      </c>
      <c r="B342" s="31" t="s">
        <v>439</v>
      </c>
      <c r="C342" s="133">
        <v>1</v>
      </c>
      <c r="D342" s="28">
        <v>0.1</v>
      </c>
      <c r="E342" s="28">
        <v>7.2</v>
      </c>
      <c r="F342" s="83">
        <f>C342*G342</f>
        <v>5.8712000000000004E-10</v>
      </c>
      <c r="G342" s="30">
        <f>H342*I342*J342*K342*L342</f>
        <v>5.8712000000000004E-10</v>
      </c>
      <c r="H342" s="28">
        <f>I338</f>
        <v>4.1000000000000003E-9</v>
      </c>
      <c r="I342" s="24">
        <v>0.17899999999999999</v>
      </c>
      <c r="J342" s="24">
        <v>1</v>
      </c>
      <c r="K342" s="24">
        <v>4</v>
      </c>
      <c r="L342" s="28">
        <v>0.2</v>
      </c>
      <c r="M342" s="24">
        <v>30</v>
      </c>
    </row>
    <row r="343" spans="1:14" ht="15" thickBot="1">
      <c r="F343" s="48"/>
    </row>
    <row r="344" spans="1:14" ht="15" thickBot="1">
      <c r="E344" s="128" t="s">
        <v>75</v>
      </c>
      <c r="F344" s="54">
        <f>SUM(F342)</f>
        <v>5.8712000000000004E-10</v>
      </c>
    </row>
    <row r="348" spans="1:14">
      <c r="A348" s="34" t="s">
        <v>83</v>
      </c>
      <c r="B348" s="34"/>
      <c r="C348" s="34"/>
    </row>
    <row r="349" spans="1:14">
      <c r="A349" s="11" t="s">
        <v>437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</row>
    <row r="350" spans="1: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2"/>
      <c r="N350" s="12"/>
    </row>
    <row r="351" spans="1:14">
      <c r="A351" s="7" t="s">
        <v>16</v>
      </c>
      <c r="B351" s="11" t="s">
        <v>37</v>
      </c>
      <c r="I351" s="34">
        <f>0.065*10^-6</f>
        <v>6.5E-8</v>
      </c>
      <c r="J351" s="56" t="s">
        <v>113</v>
      </c>
    </row>
    <row r="352" spans="1:14">
      <c r="A352" s="22" t="s">
        <v>236</v>
      </c>
      <c r="B352" s="11" t="s">
        <v>297</v>
      </c>
      <c r="I352" s="34"/>
      <c r="J352" s="56"/>
    </row>
    <row r="354" spans="1:13">
      <c r="A354" s="61" t="s">
        <v>151</v>
      </c>
      <c r="B354" s="4" t="s">
        <v>1</v>
      </c>
      <c r="C354" s="4" t="s">
        <v>2</v>
      </c>
      <c r="D354" s="44" t="s">
        <v>73</v>
      </c>
      <c r="E354" s="6" t="s">
        <v>196</v>
      </c>
      <c r="F354" s="6" t="s">
        <v>15</v>
      </c>
      <c r="G354" s="6" t="s">
        <v>16</v>
      </c>
      <c r="H354" s="132" t="s">
        <v>4</v>
      </c>
      <c r="I354" s="132" t="s">
        <v>12</v>
      </c>
      <c r="J354" s="132" t="s">
        <v>7</v>
      </c>
      <c r="K354" s="132" t="s">
        <v>6</v>
      </c>
      <c r="L354" s="132" t="s">
        <v>24</v>
      </c>
      <c r="M354" s="132" t="s">
        <v>235</v>
      </c>
    </row>
    <row r="355" spans="1:13">
      <c r="A355" s="62" t="s">
        <v>193</v>
      </c>
      <c r="B355" s="31" t="s">
        <v>434</v>
      </c>
      <c r="C355" s="27">
        <v>1</v>
      </c>
      <c r="D355" s="28">
        <v>0.1</v>
      </c>
      <c r="E355" s="83">
        <f>C355*F355</f>
        <v>1.0608000000000001E-8</v>
      </c>
      <c r="F355" s="30">
        <f>G355*H355*I355*J355*K355*L355</f>
        <v>1.0608000000000001E-8</v>
      </c>
      <c r="G355" s="28">
        <f>0.065*10^-6</f>
        <v>6.5E-8</v>
      </c>
      <c r="H355" s="24">
        <v>0.13600000000000001</v>
      </c>
      <c r="I355" s="24">
        <v>1.5</v>
      </c>
      <c r="J355" s="24">
        <f>1</f>
        <v>1</v>
      </c>
      <c r="K355" s="24">
        <v>4</v>
      </c>
      <c r="L355" s="28">
        <v>0.2</v>
      </c>
      <c r="M355" s="24">
        <v>30</v>
      </c>
    </row>
    <row r="356" spans="1:13">
      <c r="A356" s="62" t="s">
        <v>431</v>
      </c>
      <c r="B356" s="31" t="s">
        <v>435</v>
      </c>
      <c r="C356" s="27">
        <v>1</v>
      </c>
      <c r="D356" s="28">
        <v>0.1</v>
      </c>
      <c r="E356" s="83">
        <f>C356*F356</f>
        <v>4.9503999999999998E-9</v>
      </c>
      <c r="F356" s="30">
        <f>G356*H356*I356*J356*K356*L356</f>
        <v>4.9503999999999998E-9</v>
      </c>
      <c r="G356" s="28">
        <f>0.065*10^-6</f>
        <v>6.5E-8</v>
      </c>
      <c r="H356" s="24">
        <v>0.13600000000000001</v>
      </c>
      <c r="I356" s="24">
        <v>0.7</v>
      </c>
      <c r="J356" s="24">
        <f>1</f>
        <v>1</v>
      </c>
      <c r="K356" s="24">
        <v>4</v>
      </c>
      <c r="L356" s="28">
        <v>0.2</v>
      </c>
      <c r="M356" s="24">
        <v>30</v>
      </c>
    </row>
    <row r="357" spans="1:13">
      <c r="A357" s="62" t="s">
        <v>432</v>
      </c>
      <c r="B357" s="31" t="s">
        <v>436</v>
      </c>
      <c r="C357" s="27">
        <v>1</v>
      </c>
      <c r="D357" s="28">
        <v>0.1</v>
      </c>
      <c r="E357" s="83">
        <f>C357*F357</f>
        <v>5.3508000000000002E-9</v>
      </c>
      <c r="F357" s="30">
        <f>G357*H357*I357*J357*K357*L357</f>
        <v>5.3508000000000002E-9</v>
      </c>
      <c r="G357" s="28">
        <f>0.065*10^-6</f>
        <v>6.5E-8</v>
      </c>
      <c r="H357" s="24">
        <v>0.14699999999999999</v>
      </c>
      <c r="I357" s="24">
        <v>0.7</v>
      </c>
      <c r="J357" s="24">
        <f>1</f>
        <v>1</v>
      </c>
      <c r="K357" s="24">
        <v>4</v>
      </c>
      <c r="L357" s="28">
        <v>0.2</v>
      </c>
      <c r="M357" s="24">
        <v>37</v>
      </c>
    </row>
    <row r="358" spans="1:13">
      <c r="A358" s="62" t="s">
        <v>433</v>
      </c>
      <c r="B358" s="31" t="s">
        <v>436</v>
      </c>
      <c r="C358" s="27">
        <v>1</v>
      </c>
      <c r="D358" s="28">
        <v>0.1</v>
      </c>
      <c r="E358" s="83">
        <f>C358*F358</f>
        <v>5.4235999999999993E-9</v>
      </c>
      <c r="F358" s="30">
        <f>G358*H358*I358*J358*K358*L358</f>
        <v>5.4235999999999993E-9</v>
      </c>
      <c r="G358" s="28">
        <f>0.065*10^-6</f>
        <v>6.5E-8</v>
      </c>
      <c r="H358" s="24">
        <v>0.14899999999999999</v>
      </c>
      <c r="I358" s="24">
        <v>0.7</v>
      </c>
      <c r="J358" s="24">
        <f>1</f>
        <v>1</v>
      </c>
      <c r="K358" s="24">
        <v>4</v>
      </c>
      <c r="L358" s="28">
        <v>0.2</v>
      </c>
      <c r="M358" s="24">
        <v>38</v>
      </c>
    </row>
    <row r="359" spans="1:13" ht="15" thickBot="1">
      <c r="E359" s="48"/>
    </row>
    <row r="360" spans="1:13" ht="15" thickBot="1">
      <c r="D360" s="128" t="s">
        <v>75</v>
      </c>
      <c r="E360" s="105">
        <f>SUM(E355:E358)</f>
        <v>2.6332800000000004E-8</v>
      </c>
    </row>
    <row r="364" spans="1:13" ht="15" thickBot="1"/>
    <row r="365" spans="1:13" ht="15" thickBot="1">
      <c r="E365" s="131" t="s">
        <v>442</v>
      </c>
      <c r="F365" s="92">
        <f>SUM(E54,E70,E84,E99,G115,G135,G149,E164,E180,E244,E264,F288,F300,F318,F332,F344,E360)</f>
        <v>2.5948021775999998E-7</v>
      </c>
    </row>
  </sheetData>
  <mergeCells count="5">
    <mergeCell ref="A268:R268"/>
    <mergeCell ref="A2:Q2"/>
    <mergeCell ref="A10:N10"/>
    <mergeCell ref="A103:R103"/>
    <mergeCell ref="A152:N15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42"/>
  <sheetViews>
    <sheetView workbookViewId="0">
      <selection activeCell="G35" sqref="G35"/>
    </sheetView>
  </sheetViews>
  <sheetFormatPr defaultRowHeight="14.5"/>
  <cols>
    <col min="2" max="2" width="45.81640625" customWidth="1"/>
    <col min="4" max="4" width="13.1796875" customWidth="1"/>
    <col min="5" max="5" width="10.54296875" customWidth="1"/>
    <col min="6" max="6" width="12" bestFit="1" customWidth="1"/>
  </cols>
  <sheetData>
    <row r="2" spans="1:17">
      <c r="A2" s="147" t="s">
        <v>444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4" spans="1:17">
      <c r="A4" s="11" t="s">
        <v>150</v>
      </c>
      <c r="B4" s="11"/>
    </row>
    <row r="5" spans="1:17">
      <c r="A5" s="11" t="s">
        <v>26</v>
      </c>
      <c r="B5" s="11"/>
    </row>
    <row r="6" spans="1:17">
      <c r="A6" s="11" t="s">
        <v>291</v>
      </c>
      <c r="B6" s="11"/>
    </row>
    <row r="10" spans="1:17">
      <c r="A10" s="25" t="s">
        <v>76</v>
      </c>
      <c r="B10" s="25"/>
      <c r="C10" s="25"/>
      <c r="D10" s="1"/>
      <c r="E10" s="1"/>
      <c r="F10" s="1"/>
      <c r="G10" s="1"/>
      <c r="H10" s="1"/>
      <c r="I10" s="1"/>
      <c r="J10" s="1"/>
      <c r="K10" s="1"/>
    </row>
    <row r="11" spans="1:17">
      <c r="A11" s="11" t="s">
        <v>214</v>
      </c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</row>
    <row r="13" spans="1:17">
      <c r="A13" s="7" t="s">
        <v>16</v>
      </c>
      <c r="B13" s="11" t="s">
        <v>37</v>
      </c>
      <c r="C13" s="15"/>
      <c r="F13" s="11"/>
      <c r="I13" s="34">
        <f>0.011*10^-6</f>
        <v>1.0999999999999999E-8</v>
      </c>
      <c r="J13" s="56" t="s">
        <v>116</v>
      </c>
    </row>
    <row r="14" spans="1:17">
      <c r="A14" s="22" t="s">
        <v>4</v>
      </c>
      <c r="B14" s="11" t="s">
        <v>38</v>
      </c>
      <c r="C14" s="26"/>
    </row>
    <row r="15" spans="1:17">
      <c r="A15" s="22" t="s">
        <v>6</v>
      </c>
      <c r="B15" s="11" t="s">
        <v>32</v>
      </c>
      <c r="C15" s="12"/>
    </row>
    <row r="16" spans="1:17">
      <c r="A16" s="22" t="s">
        <v>7</v>
      </c>
      <c r="B16" s="11" t="s">
        <v>42</v>
      </c>
      <c r="C16" s="12"/>
    </row>
    <row r="17" spans="1:13">
      <c r="A17" s="23" t="s">
        <v>40</v>
      </c>
      <c r="B17" s="11" t="s">
        <v>41</v>
      </c>
      <c r="C17" s="11"/>
    </row>
    <row r="18" spans="1:13">
      <c r="A18" s="22" t="s">
        <v>31</v>
      </c>
      <c r="B18" s="11" t="s">
        <v>33</v>
      </c>
      <c r="C18" s="12"/>
    </row>
    <row r="19" spans="1:13">
      <c r="A19" s="22" t="s">
        <v>24</v>
      </c>
      <c r="B19" s="11" t="s">
        <v>35</v>
      </c>
      <c r="C19" s="12"/>
    </row>
    <row r="20" spans="1:13">
      <c r="A20" s="22" t="s">
        <v>236</v>
      </c>
      <c r="B20" s="11" t="s">
        <v>297</v>
      </c>
      <c r="C20" s="12"/>
    </row>
    <row r="22" spans="1:13">
      <c r="A22" s="61" t="s">
        <v>151</v>
      </c>
      <c r="B22" s="4" t="s">
        <v>1</v>
      </c>
      <c r="C22" s="4" t="s">
        <v>2</v>
      </c>
      <c r="D22" s="44" t="s">
        <v>74</v>
      </c>
      <c r="E22" s="6" t="s">
        <v>196</v>
      </c>
      <c r="F22" s="6" t="s">
        <v>15</v>
      </c>
      <c r="G22" s="6" t="s">
        <v>16</v>
      </c>
      <c r="H22" s="4" t="s">
        <v>4</v>
      </c>
      <c r="I22" s="4" t="s">
        <v>7</v>
      </c>
      <c r="J22" s="4" t="s">
        <v>6</v>
      </c>
      <c r="K22" s="4" t="s">
        <v>24</v>
      </c>
      <c r="L22" s="4" t="s">
        <v>235</v>
      </c>
    </row>
    <row r="23" spans="1:13">
      <c r="A23" s="89" t="s">
        <v>445</v>
      </c>
      <c r="B23" s="31" t="s">
        <v>95</v>
      </c>
      <c r="C23" s="27">
        <v>12</v>
      </c>
      <c r="D23" s="28">
        <v>0.1</v>
      </c>
      <c r="E23" s="83">
        <f>C23*F23</f>
        <v>3.4848000000000002E-9</v>
      </c>
      <c r="F23" s="30">
        <f>G23*H23*I23*J23*K23</f>
        <v>2.904E-10</v>
      </c>
      <c r="G23" s="28">
        <f>0.011*10^-6</f>
        <v>1.0999999999999999E-8</v>
      </c>
      <c r="H23" s="24">
        <f>0.033</f>
        <v>3.3000000000000002E-2</v>
      </c>
      <c r="I23" s="24">
        <f>1</f>
        <v>1</v>
      </c>
      <c r="J23" s="24">
        <v>4</v>
      </c>
      <c r="K23" s="28">
        <v>0.2</v>
      </c>
      <c r="L23" s="28">
        <v>30</v>
      </c>
    </row>
    <row r="24" spans="1:13" ht="15" thickBot="1">
      <c r="E24" s="48"/>
    </row>
    <row r="25" spans="1:13" ht="15" thickBot="1">
      <c r="D25" s="128" t="s">
        <v>75</v>
      </c>
      <c r="E25" s="122">
        <f>SUM(E23)</f>
        <v>3.4848000000000002E-9</v>
      </c>
    </row>
    <row r="28" spans="1:13">
      <c r="A28" s="38" t="s">
        <v>109</v>
      </c>
      <c r="B28" s="38"/>
      <c r="C28" s="38"/>
    </row>
    <row r="29" spans="1:13">
      <c r="A29" s="11" t="s">
        <v>446</v>
      </c>
      <c r="B29" s="11"/>
      <c r="C29" s="11"/>
      <c r="D29" s="11"/>
      <c r="E29" s="11"/>
      <c r="F29" s="11"/>
      <c r="G29" s="11"/>
      <c r="H29" s="11"/>
      <c r="I29" s="11"/>
    </row>
    <row r="30" spans="1:13">
      <c r="A30" s="11"/>
      <c r="B30" s="11"/>
      <c r="C30" s="11"/>
      <c r="D30" s="11"/>
      <c r="E30" s="11"/>
      <c r="F30" s="11"/>
      <c r="G30" s="11"/>
      <c r="H30" s="11"/>
      <c r="I30" s="11"/>
      <c r="L30" s="34">
        <f>0.0067*10^-6</f>
        <v>6.6999999999999996E-9</v>
      </c>
      <c r="M30" s="56" t="s">
        <v>448</v>
      </c>
    </row>
    <row r="31" spans="1:13">
      <c r="A31" s="7" t="s">
        <v>15</v>
      </c>
      <c r="B31" s="11" t="s">
        <v>447</v>
      </c>
      <c r="L31" s="34"/>
      <c r="M31" s="11" t="s">
        <v>483</v>
      </c>
    </row>
    <row r="32" spans="1:13">
      <c r="A32" s="22" t="s">
        <v>236</v>
      </c>
      <c r="B32" s="11" t="s">
        <v>297</v>
      </c>
    </row>
    <row r="34" spans="1:6">
      <c r="A34" s="61" t="s">
        <v>151</v>
      </c>
      <c r="B34" s="4" t="s">
        <v>1</v>
      </c>
      <c r="C34" s="4" t="s">
        <v>2</v>
      </c>
      <c r="D34" s="6" t="s">
        <v>196</v>
      </c>
      <c r="E34" s="6" t="s">
        <v>15</v>
      </c>
      <c r="F34" s="4" t="s">
        <v>235</v>
      </c>
    </row>
    <row r="35" spans="1:6">
      <c r="A35" s="89" t="s">
        <v>449</v>
      </c>
      <c r="B35" s="31" t="s">
        <v>451</v>
      </c>
      <c r="C35" s="27">
        <v>1</v>
      </c>
      <c r="D35" s="29">
        <f>C35*E35</f>
        <v>6.6999999999999996E-9</v>
      </c>
      <c r="E35" s="30">
        <f>0.0067*10^-6</f>
        <v>6.6999999999999996E-9</v>
      </c>
      <c r="F35" s="28">
        <v>35</v>
      </c>
    </row>
    <row r="36" spans="1:6">
      <c r="A36" s="89" t="s">
        <v>450</v>
      </c>
      <c r="B36" s="31" t="s">
        <v>451</v>
      </c>
      <c r="C36" s="27">
        <v>1</v>
      </c>
      <c r="D36" s="29">
        <f>C36*E36</f>
        <v>6.6999999999999996E-9</v>
      </c>
      <c r="E36" s="30">
        <f>0.0067*10^-6</f>
        <v>6.6999999999999996E-9</v>
      </c>
      <c r="F36" s="28">
        <v>35</v>
      </c>
    </row>
    <row r="37" spans="1:6" ht="15" thickBot="1"/>
    <row r="38" spans="1:6" ht="15" thickBot="1">
      <c r="C38" s="128" t="s">
        <v>75</v>
      </c>
      <c r="D38" s="121">
        <f>SUM(D35:D36)</f>
        <v>1.3399999999999999E-8</v>
      </c>
    </row>
    <row r="41" spans="1:6" ht="15" thickBot="1"/>
    <row r="42" spans="1:6" ht="15" thickBot="1">
      <c r="C42" s="134" t="s">
        <v>467</v>
      </c>
      <c r="D42" s="135">
        <f>SUM(E25,D38)</f>
        <v>1.6884799999999998E-8</v>
      </c>
    </row>
  </sheetData>
  <mergeCells count="1">
    <mergeCell ref="A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ТУМ-C10</vt:lpstr>
      <vt:lpstr>Аттенюатор</vt:lpstr>
      <vt:lpstr>Усилитель 1</vt:lpstr>
      <vt:lpstr>Усилитель 2-3</vt:lpstr>
      <vt:lpstr>Усилитель 4</vt:lpstr>
      <vt:lpstr>Детектор</vt:lpstr>
      <vt:lpstr>АРМ</vt:lpstr>
      <vt:lpstr>Стабилизатор</vt:lpstr>
      <vt:lpstr>ТУМ-C10_Элементы корпуса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Teymur Mamedov</dc:creator>
  <cp:lastModifiedBy>Тимур Ходырев</cp:lastModifiedBy>
  <cp:lastPrinted>2016-04-25T12:55:40Z</cp:lastPrinted>
  <dcterms:created xsi:type="dcterms:W3CDTF">2016-03-18T10:46:40Z</dcterms:created>
  <dcterms:modified xsi:type="dcterms:W3CDTF">2024-06-18T20:28:08Z</dcterms:modified>
</cp:coreProperties>
</file>