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345" tabRatio="660"/>
  </bookViews>
  <sheets>
    <sheet name="Sony-IMX214 Sensor Modes" sheetId="6" r:id="rId1"/>
    <sheet name="工作表1" sheetId="7" r:id="rId2"/>
  </sheets>
  <calcPr calcId="145621"/>
</workbook>
</file>

<file path=xl/calcChain.xml><?xml version="1.0" encoding="utf-8"?>
<calcChain xmlns="http://schemas.openxmlformats.org/spreadsheetml/2006/main">
  <c r="F32" i="6" l="1"/>
  <c r="F17" i="6"/>
  <c r="F12" i="6"/>
  <c r="F14" i="6" s="1"/>
  <c r="J32" i="6"/>
  <c r="J17" i="6"/>
  <c r="J12" i="6"/>
  <c r="J14" i="6" s="1"/>
  <c r="J30" i="6" s="1"/>
  <c r="J31" i="6" s="1"/>
  <c r="L12" i="6"/>
  <c r="J15" i="6" l="1"/>
  <c r="F15" i="6"/>
  <c r="F30" i="6"/>
  <c r="F31" i="6" s="1"/>
  <c r="F34" i="6"/>
  <c r="F21" i="6"/>
  <c r="F22" i="6" s="1"/>
  <c r="F23" i="6" s="1"/>
  <c r="F24" i="6" s="1"/>
  <c r="F25" i="6" s="1"/>
  <c r="J21" i="6"/>
  <c r="J22" i="6" s="1"/>
  <c r="J23" i="6" s="1"/>
  <c r="J24" i="6" s="1"/>
  <c r="J25" i="6" s="1"/>
  <c r="J35" i="6" s="1"/>
  <c r="J34" i="6"/>
  <c r="I32" i="6"/>
  <c r="I17" i="6"/>
  <c r="I12" i="6"/>
  <c r="I14" i="6" s="1"/>
  <c r="K32" i="6"/>
  <c r="K31" i="6"/>
  <c r="K17" i="6"/>
  <c r="K12" i="6"/>
  <c r="K14" i="6" s="1"/>
  <c r="F35" i="6" l="1"/>
  <c r="K15" i="6"/>
  <c r="I15" i="6"/>
  <c r="I30" i="6"/>
  <c r="I31" i="6" s="1"/>
  <c r="I34" i="6"/>
  <c r="I21" i="6"/>
  <c r="I22" i="6" s="1"/>
  <c r="I23" i="6" s="1"/>
  <c r="I24" i="6" s="1"/>
  <c r="I25" i="6" s="1"/>
  <c r="I35" i="6" s="1"/>
  <c r="K30" i="6"/>
  <c r="K21" i="6"/>
  <c r="K22" i="6" s="1"/>
  <c r="K23" i="6" s="1"/>
  <c r="K24" i="6" s="1"/>
  <c r="K25" i="6" s="1"/>
  <c r="K35" i="6" s="1"/>
  <c r="K34" i="6"/>
  <c r="A35" i="6" l="1"/>
  <c r="L32" i="6" l="1"/>
  <c r="L31" i="6"/>
  <c r="L17" i="6"/>
  <c r="L14" i="6"/>
  <c r="L34" i="6" s="1"/>
  <c r="B14" i="6"/>
  <c r="B21" i="6" s="1"/>
  <c r="B22" i="6" s="1"/>
  <c r="B23" i="6" s="1"/>
  <c r="B24" i="6" s="1"/>
  <c r="B25" i="6" s="1"/>
  <c r="C14" i="6"/>
  <c r="D14" i="6"/>
  <c r="D21" i="6" s="1"/>
  <c r="D22" i="6" s="1"/>
  <c r="D23" i="6" s="1"/>
  <c r="D24" i="6" s="1"/>
  <c r="D25" i="6" s="1"/>
  <c r="E14" i="6"/>
  <c r="G14" i="6"/>
  <c r="G21" i="6" s="1"/>
  <c r="G22" i="6" s="1"/>
  <c r="G23" i="6" s="1"/>
  <c r="G24" i="6" s="1"/>
  <c r="G25" i="6" s="1"/>
  <c r="H14" i="6"/>
  <c r="B15" i="6"/>
  <c r="C15" i="6"/>
  <c r="D15" i="6"/>
  <c r="E15" i="6"/>
  <c r="G15" i="6"/>
  <c r="H15" i="6"/>
  <c r="B17" i="6"/>
  <c r="C17" i="6"/>
  <c r="D17" i="6"/>
  <c r="E17" i="6"/>
  <c r="G17" i="6"/>
  <c r="H17" i="6"/>
  <c r="C21" i="6"/>
  <c r="C22" i="6" s="1"/>
  <c r="C23" i="6" s="1"/>
  <c r="C24" i="6" s="1"/>
  <c r="C25" i="6" s="1"/>
  <c r="E21" i="6"/>
  <c r="E22" i="6" s="1"/>
  <c r="E23" i="6" s="1"/>
  <c r="E24" i="6" s="1"/>
  <c r="E25" i="6" s="1"/>
  <c r="H21" i="6"/>
  <c r="H22" i="6" s="1"/>
  <c r="H23" i="6" s="1"/>
  <c r="H24" i="6" s="1"/>
  <c r="H25" i="6" s="1"/>
  <c r="C30" i="6"/>
  <c r="C31" i="6" s="1"/>
  <c r="D30" i="6"/>
  <c r="D31" i="6" s="1"/>
  <c r="E30" i="6"/>
  <c r="E31" i="6" s="1"/>
  <c r="H30" i="6"/>
  <c r="H31" i="6" s="1"/>
  <c r="B32" i="6"/>
  <c r="C32" i="6"/>
  <c r="D32" i="6"/>
  <c r="E32" i="6"/>
  <c r="G32" i="6"/>
  <c r="H32" i="6"/>
  <c r="B34" i="6"/>
  <c r="C34" i="6"/>
  <c r="D34" i="6"/>
  <c r="E34" i="6"/>
  <c r="G34" i="6"/>
  <c r="H34" i="6"/>
  <c r="G30" i="6" l="1"/>
  <c r="G31" i="6" s="1"/>
  <c r="G35" i="6" s="1"/>
  <c r="B30" i="6"/>
  <c r="B31" i="6" s="1"/>
  <c r="B35" i="6" s="1"/>
  <c r="E35" i="6"/>
  <c r="D35" i="6"/>
  <c r="L15" i="6"/>
  <c r="H35" i="6"/>
  <c r="C35" i="6"/>
  <c r="L30" i="6"/>
  <c r="L21" i="6"/>
  <c r="L22" i="6" s="1"/>
  <c r="L23" i="6" s="1"/>
  <c r="L24" i="6" s="1"/>
  <c r="L25" i="6" s="1"/>
  <c r="L35" i="6" s="1"/>
</calcChain>
</file>

<file path=xl/comments1.xml><?xml version="1.0" encoding="utf-8"?>
<comments xmlns="http://schemas.openxmlformats.org/spreadsheetml/2006/main">
  <authors>
    <author>shengju.wang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shengju.wang:</t>
        </r>
        <r>
          <rPr>
            <sz val="9"/>
            <color indexed="81"/>
            <rFont val="Tahoma"/>
            <family val="2"/>
          </rPr>
          <t xml:space="preserve">
mipi </t>
        </r>
        <r>
          <rPr>
            <sz val="9"/>
            <color indexed="81"/>
            <rFont val="細明體"/>
            <family val="3"/>
            <charset val="136"/>
          </rPr>
          <t>本來應該是用</t>
        </r>
        <r>
          <rPr>
            <sz val="9"/>
            <color indexed="81"/>
            <rFont val="Tahoma"/>
            <family val="2"/>
          </rPr>
          <t xml:space="preserve"> Byte clock. </t>
        </r>
        <r>
          <rPr>
            <sz val="9"/>
            <color indexed="81"/>
            <rFont val="細明體"/>
            <family val="3"/>
            <charset val="136"/>
          </rPr>
          <t>但是為了與</t>
        </r>
        <r>
          <rPr>
            <sz val="9"/>
            <color indexed="81"/>
            <rFont val="Tahoma"/>
            <family val="2"/>
          </rPr>
          <t xml:space="preserve"> lvds </t>
        </r>
        <r>
          <rPr>
            <sz val="9"/>
            <color indexed="81"/>
            <rFont val="細明體"/>
            <family val="3"/>
            <charset val="136"/>
          </rPr>
          <t>一致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細明體"/>
            <family val="3"/>
            <charset val="136"/>
          </rPr>
          <t>所以一律採用Pixel clock Base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shengju.wang: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可以調整這個值
讓</t>
        </r>
        <r>
          <rPr>
            <sz val="9"/>
            <color indexed="81"/>
            <rFont val="Tahoma"/>
            <family val="2"/>
          </rPr>
          <t xml:space="preserve"> CDSP clock </t>
        </r>
        <r>
          <rPr>
            <sz val="9"/>
            <color indexed="81"/>
            <rFont val="細明體"/>
            <family val="3"/>
            <charset val="136"/>
          </rPr>
          <t>降下來
但會影響</t>
        </r>
        <r>
          <rPr>
            <sz val="9"/>
            <color indexed="81"/>
            <rFont val="Tahoma"/>
            <family val="2"/>
          </rPr>
          <t xml:space="preserve"> quality
</t>
        </r>
        <r>
          <rPr>
            <sz val="9"/>
            <color indexed="81"/>
            <rFont val="細明體"/>
            <family val="3"/>
            <charset val="136"/>
          </rPr>
          <t>若與 crop crop hsize 相等時,  #define 請填"0"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shengju.wang:</t>
        </r>
        <r>
          <rPr>
            <sz val="9"/>
            <color indexed="81"/>
            <rFont val="Tahoma"/>
            <family val="2"/>
          </rPr>
          <t xml:space="preserve">
line length / lane
[MIPI 10bit]=fitotal *8/10
[MIPI 12bit]=fitotal *8/12
[LVDS]=fitotal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shengju.wang:</t>
        </r>
        <r>
          <rPr>
            <sz val="9"/>
            <color indexed="81"/>
            <rFont val="Tahoma"/>
            <family val="2"/>
          </rPr>
          <t xml:space="preserve">
[AR0330]
</t>
        </r>
        <r>
          <rPr>
            <sz val="9"/>
            <color indexed="81"/>
            <rFont val="細明體"/>
            <family val="3"/>
            <charset val="136"/>
          </rPr>
          <t>由於</t>
        </r>
        <r>
          <rPr>
            <sz val="9"/>
            <color indexed="81"/>
            <rFont val="Tahoma"/>
            <family val="2"/>
          </rPr>
          <t xml:space="preserve"> pixel clock 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 xml:space="preserve"> mipi pixel clock  </t>
        </r>
        <r>
          <rPr>
            <sz val="9"/>
            <color indexed="81"/>
            <rFont val="細明體"/>
            <family val="3"/>
            <charset val="136"/>
          </rPr>
          <t>差兩倍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細明體"/>
            <family val="3"/>
            <charset val="136"/>
          </rPr>
          <t>此處須設為</t>
        </r>
        <r>
          <rPr>
            <sz val="9"/>
            <color indexed="81"/>
            <rFont val="Tahoma"/>
            <family val="2"/>
          </rPr>
          <t xml:space="preserve">reg *2.
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shengju.wang:</t>
        </r>
        <r>
          <rPr>
            <sz val="9"/>
            <color indexed="81"/>
            <rFont val="Tahoma"/>
            <family val="2"/>
          </rPr>
          <t xml:space="preserve">
snap 1T2P
preview Average 1T2P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shengju.wang:</t>
        </r>
        <r>
          <rPr>
            <sz val="9"/>
            <color indexed="81"/>
            <rFont val="Tahoma"/>
            <family val="2"/>
          </rPr>
          <t xml:space="preserve">
snap </t>
        </r>
        <r>
          <rPr>
            <sz val="9"/>
            <color indexed="81"/>
            <rFont val="細明體"/>
            <family val="3"/>
            <charset val="136"/>
          </rPr>
          <t>固定</t>
        </r>
        <r>
          <rPr>
            <sz val="9"/>
            <color indexed="81"/>
            <rFont val="Tahoma"/>
            <family val="2"/>
          </rPr>
          <t xml:space="preserve"> 0 
preview </t>
        </r>
        <r>
          <rPr>
            <sz val="9"/>
            <color indexed="81"/>
            <rFont val="細明體"/>
            <family val="3"/>
            <charset val="136"/>
          </rPr>
          <t>固定</t>
        </r>
        <r>
          <rPr>
            <sz val="9"/>
            <color indexed="81"/>
            <rFont val="Tahoma"/>
            <family val="2"/>
          </rPr>
          <t xml:space="preserve"> 35l ines+100us
</t>
        </r>
      </text>
    </comment>
  </commentList>
</comments>
</file>

<file path=xl/sharedStrings.xml><?xml version="1.0" encoding="utf-8"?>
<sst xmlns="http://schemas.openxmlformats.org/spreadsheetml/2006/main" count="101" uniqueCount="75">
  <si>
    <t>Sensor</t>
  </si>
  <si>
    <t>Mode</t>
  </si>
  <si>
    <t>PlatForm</t>
    <phoneticPr fontId="1" type="noConversion"/>
  </si>
  <si>
    <t>V35</t>
    <phoneticPr fontId="1" type="noConversion"/>
  </si>
  <si>
    <t>Full Frame Capture (1)</t>
    <phoneticPr fontId="10" type="noConversion"/>
  </si>
  <si>
    <t>Application</t>
    <phoneticPr fontId="1" type="noConversion"/>
  </si>
  <si>
    <t>Mode ID</t>
    <phoneticPr fontId="1" type="noConversion"/>
  </si>
  <si>
    <t>0x30</t>
    <phoneticPr fontId="1" type="noConversion"/>
  </si>
  <si>
    <t>0x31</t>
    <phoneticPr fontId="1" type="noConversion"/>
  </si>
  <si>
    <t>0x32</t>
    <phoneticPr fontId="1" type="noConversion"/>
  </si>
  <si>
    <t>0x33</t>
    <phoneticPr fontId="1" type="noConversion"/>
  </si>
  <si>
    <t>0x40</t>
    <phoneticPr fontId="1" type="noConversion"/>
  </si>
  <si>
    <t>Sensor output config.</t>
    <phoneticPr fontId="1" type="noConversion"/>
  </si>
  <si>
    <t>H: 2bin
V: 2bin</t>
    <phoneticPr fontId="1" type="noConversion"/>
  </si>
  <si>
    <t>H: 4bin
V: 4bin</t>
    <phoneticPr fontId="1" type="noConversion"/>
  </si>
  <si>
    <t>-</t>
    <phoneticPr fontId="1" type="noConversion"/>
  </si>
  <si>
    <t>Lane number</t>
    <phoneticPr fontId="1" type="noConversion"/>
  </si>
  <si>
    <t>Sensor active hsize</t>
    <phoneticPr fontId="1" type="noConversion"/>
  </si>
  <si>
    <t>Sensor active vsize</t>
    <phoneticPr fontId="1" type="noConversion"/>
  </si>
  <si>
    <t xml:space="preserve">Sensor output raito </t>
    <phoneticPr fontId="1" type="noConversion"/>
  </si>
  <si>
    <t>4:3</t>
    <phoneticPr fontId="1" type="noConversion"/>
  </si>
  <si>
    <t>16:9</t>
    <phoneticPr fontId="1" type="noConversion"/>
  </si>
  <si>
    <t>MIPI data rate(Mbps/Lane)</t>
    <phoneticPr fontId="1" type="noConversion"/>
  </si>
  <si>
    <t>MIPI data format (10/12 Bit)</t>
    <phoneticPr fontId="1" type="noConversion"/>
  </si>
  <si>
    <t>[Driver]PLCK1x(minimum)</t>
    <phoneticPr fontId="5" type="noConversion"/>
  </si>
  <si>
    <t>[Driver]PCLKNX(Mp/s)</t>
    <phoneticPr fontId="1" type="noConversion"/>
  </si>
  <si>
    <t>[Driver]Bayer Hscale hsize</t>
    <phoneticPr fontId="1" type="noConversion"/>
  </si>
  <si>
    <t>[Driver]HTOTAL</t>
    <phoneticPr fontId="1" type="noConversion"/>
  </si>
  <si>
    <t>Sensor line length(Pixel)</t>
    <phoneticPr fontId="1" type="noConversion"/>
  </si>
  <si>
    <t>Sensor frame length</t>
    <phoneticPr fontId="1" type="noConversion"/>
  </si>
  <si>
    <t>[SYSTEM]V34/V35 DRAM clock</t>
    <phoneticPr fontId="1" type="noConversion"/>
  </si>
  <si>
    <t>PCLK check</t>
    <phoneticPr fontId="5" type="noConversion"/>
  </si>
  <si>
    <t>[SYSTEM]PCLK real</t>
    <phoneticPr fontId="5" type="noConversion"/>
  </si>
  <si>
    <t>[SYSTEM]CDSP min</t>
    <phoneticPr fontId="5" type="noConversion"/>
  </si>
  <si>
    <t>CDSP check</t>
    <phoneticPr fontId="5" type="noConversion"/>
  </si>
  <si>
    <t>[SYSTEM]CDSP real</t>
    <phoneticPr fontId="5" type="noConversion"/>
  </si>
  <si>
    <t>Front crop hsize</t>
    <phoneticPr fontId="1" type="noConversion"/>
  </si>
  <si>
    <t>Front crop vsize</t>
    <phoneticPr fontId="1" type="noConversion"/>
  </si>
  <si>
    <t>CDSP crop hsize</t>
    <phoneticPr fontId="1" type="noConversion"/>
  </si>
  <si>
    <t>CDSP crop vsize</t>
    <phoneticPr fontId="1" type="noConversion"/>
  </si>
  <si>
    <t>Line Time (us)</t>
    <phoneticPr fontId="10" type="noConversion"/>
  </si>
  <si>
    <t>Extension Line</t>
    <phoneticPr fontId="1" type="noConversion"/>
  </si>
  <si>
    <t>V-blank</t>
    <phoneticPr fontId="1" type="noConversion"/>
  </si>
  <si>
    <t>CDSP output ratio</t>
    <phoneticPr fontId="1" type="noConversion"/>
  </si>
  <si>
    <t>Frame rate sensor(FPS)</t>
    <phoneticPr fontId="1" type="noConversion"/>
  </si>
  <si>
    <t>Preview(1)</t>
  </si>
  <si>
    <t>Preview(2)</t>
    <phoneticPr fontId="1" type="noConversion"/>
  </si>
  <si>
    <t>Preview(3)</t>
    <phoneticPr fontId="1" type="noConversion"/>
  </si>
  <si>
    <t>Preview(4)</t>
    <phoneticPr fontId="1" type="noConversion"/>
  </si>
  <si>
    <t>Preview(5)</t>
    <phoneticPr fontId="1" type="noConversion"/>
  </si>
  <si>
    <t>Preview(6)</t>
    <phoneticPr fontId="1" type="noConversion"/>
  </si>
  <si>
    <t>Quarter(3)44fps</t>
    <phoneticPr fontId="1" type="noConversion"/>
  </si>
  <si>
    <t>BIN4(6)120fps</t>
    <phoneticPr fontId="1" type="noConversion"/>
  </si>
  <si>
    <t>Quarter(2)30fps</t>
    <phoneticPr fontId="1" type="noConversion"/>
  </si>
  <si>
    <t>Quarter(1)30fps</t>
    <phoneticPr fontId="1" type="noConversion"/>
  </si>
  <si>
    <t>BIN4(5)116fps</t>
    <phoneticPr fontId="1" type="noConversion"/>
  </si>
  <si>
    <t>IMX214 (MIPI 4 lanes front sensor)</t>
    <phoneticPr fontId="1" type="noConversion"/>
  </si>
  <si>
    <t>0x41</t>
    <phoneticPr fontId="1" type="noConversion"/>
  </si>
  <si>
    <t>Full Frame Capture (2)</t>
    <phoneticPr fontId="10" type="noConversion"/>
  </si>
  <si>
    <t>0x36</t>
    <phoneticPr fontId="1" type="noConversion"/>
  </si>
  <si>
    <t>0x37</t>
    <phoneticPr fontId="1" type="noConversion"/>
  </si>
  <si>
    <t>0x38</t>
    <phoneticPr fontId="1" type="noConversion"/>
  </si>
  <si>
    <t>16:9</t>
    <phoneticPr fontId="1" type="noConversion"/>
  </si>
  <si>
    <t>FullFrame15fps</t>
    <phoneticPr fontId="1" type="noConversion"/>
  </si>
  <si>
    <t>FullFrame20fps</t>
    <phoneticPr fontId="1" type="noConversion"/>
  </si>
  <si>
    <t>FullFrameCapture15fps</t>
    <phoneticPr fontId="1" type="noConversion"/>
  </si>
  <si>
    <t>FullFrameCapture20fps</t>
    <phoneticPr fontId="1" type="noConversion"/>
  </si>
  <si>
    <t>Preview(7)</t>
    <phoneticPr fontId="1" type="noConversion"/>
  </si>
  <si>
    <t>Preview(8)</t>
    <phoneticPr fontId="1" type="noConversion"/>
  </si>
  <si>
    <t>Preview(9)</t>
    <phoneticPr fontId="1" type="noConversion"/>
  </si>
  <si>
    <t>Quarter(4)60fps</t>
    <phoneticPr fontId="1" type="noConversion"/>
  </si>
  <si>
    <t>Quarter(5)83fps</t>
    <phoneticPr fontId="1" type="noConversion"/>
  </si>
  <si>
    <t>H: 2bin
V: 2bin</t>
    <phoneticPr fontId="1" type="noConversion"/>
  </si>
  <si>
    <t>0x34</t>
    <phoneticPr fontId="1" type="noConversion"/>
  </si>
  <si>
    <t>0x35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</si>
</sst>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_ "/>
  </numFmts>
  <fonts count="12">
    <font>
      <sz val="11"/>
      <color indexed="8"/>
      <name val="宋体"/>
      <charset val="134"/>
    </font>
    <font>
      <sz val="9"/>
      <name val="新細明體"/>
      <family val="1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sz val="9"/>
      <name val="新細明體"/>
      <family val="1"/>
      <charset val="136"/>
    </font>
    <font>
      <sz val="12"/>
      <color theme="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9"/>
      <name val="細明體"/>
      <family val="3"/>
      <charset val="136"/>
    </font>
    <font>
      <sz val="12"/>
      <color theme="1"/>
      <name val="新細明體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11" fillId="0" borderId="0"/>
  </cellStyleXfs>
  <cellXfs count="52">
    <xf numFmtId="0" fontId="0" fillId="0" borderId="0" xfId="0"/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0" fontId="3" fillId="0" borderId="1" xfId="0" quotePrefix="1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49" fontId="3" fillId="0" borderId="1" xfId="0" quotePrefix="1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7" fontId="4" fillId="7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/>
    <xf numFmtId="0" fontId="2" fillId="6" borderId="1" xfId="0" applyFont="1" applyFill="1" applyBorder="1" applyAlignment="1"/>
    <xf numFmtId="0" fontId="3" fillId="9" borderId="1" xfId="0" applyFont="1" applyFill="1" applyBorder="1" applyAlignment="1">
      <alignment horizontal="center" wrapText="1"/>
    </xf>
    <xf numFmtId="0" fontId="2" fillId="5" borderId="1" xfId="0" applyFont="1" applyFill="1" applyBorder="1" applyAlignment="1"/>
    <xf numFmtId="0" fontId="2" fillId="8" borderId="1" xfId="0" applyNumberFormat="1" applyFont="1" applyFill="1" applyBorder="1" applyAlignment="1"/>
    <xf numFmtId="0" fontId="3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49" fontId="3" fillId="0" borderId="3" xfId="0" quotePrefix="1" applyNumberFormat="1" applyFont="1" applyBorder="1" applyAlignment="1">
      <alignment horizontal="center"/>
    </xf>
    <xf numFmtId="0" fontId="3" fillId="0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 wrapText="1"/>
    </xf>
    <xf numFmtId="176" fontId="2" fillId="7" borderId="3" xfId="0" applyNumberFormat="1" applyFont="1" applyFill="1" applyBorder="1" applyAlignment="1">
      <alignment horizontal="center"/>
    </xf>
    <xf numFmtId="20" fontId="3" fillId="0" borderId="3" xfId="0" quotePrefix="1" applyNumberFormat="1" applyFont="1" applyBorder="1" applyAlignment="1">
      <alignment horizontal="center"/>
    </xf>
    <xf numFmtId="177" fontId="4" fillId="7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49" fontId="3" fillId="0" borderId="5" xfId="0" quotePrefix="1" applyNumberFormat="1" applyFont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 wrapText="1"/>
    </xf>
    <xf numFmtId="176" fontId="2" fillId="7" borderId="5" xfId="0" applyNumberFormat="1" applyFont="1" applyFill="1" applyBorder="1" applyAlignment="1">
      <alignment horizontal="center"/>
    </xf>
    <xf numFmtId="20" fontId="3" fillId="0" borderId="5" xfId="0" quotePrefix="1" applyNumberFormat="1" applyFont="1" applyBorder="1" applyAlignment="1">
      <alignment horizontal="center"/>
    </xf>
    <xf numFmtId="177" fontId="4" fillId="7" borderId="5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3">
    <cellStyle name="Normal 2" xfId="1"/>
    <cellStyle name="一般" xfId="0" builtinId="0"/>
    <cellStyle name="一般 2" xfId="2"/>
  </cellStyles>
  <dxfs count="9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0D4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0"/>
    <pageSetUpPr fitToPage="1"/>
  </sheetPr>
  <dimension ref="A2:L35"/>
  <sheetViews>
    <sheetView tabSelected="1" zoomScaleNormal="100" workbookViewId="0">
      <pane xSplit="1" ySplit="1" topLeftCell="C2" activePane="bottomRight" state="frozen"/>
      <selection pane="topRight" activeCell="B1" sqref="B1"/>
      <selection pane="bottomLeft" activeCell="A3" sqref="A3"/>
      <selection pane="bottomRight" activeCell="D39" sqref="D39"/>
    </sheetView>
  </sheetViews>
  <sheetFormatPr defaultRowHeight="13.5"/>
  <cols>
    <col min="1" max="1" width="29" bestFit="1" customWidth="1"/>
    <col min="2" max="2" width="19.25" customWidth="1"/>
    <col min="3" max="4" width="16.625" bestFit="1" customWidth="1"/>
    <col min="5" max="5" width="18.75" bestFit="1" customWidth="1"/>
    <col min="6" max="6" width="18.75" customWidth="1"/>
    <col min="7" max="7" width="18.75" bestFit="1" customWidth="1"/>
    <col min="8" max="8" width="17.625" bestFit="1" customWidth="1"/>
    <col min="9" max="9" width="19.625" customWidth="1"/>
    <col min="10" max="10" width="22.875" customWidth="1"/>
    <col min="11" max="11" width="20.75" customWidth="1"/>
    <col min="12" max="12" width="20.25" customWidth="1"/>
    <col min="13" max="13" width="9" customWidth="1"/>
  </cols>
  <sheetData>
    <row r="2" spans="1:12" ht="14.25">
      <c r="A2" s="15" t="s">
        <v>2</v>
      </c>
      <c r="B2" s="46" t="s">
        <v>3</v>
      </c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ht="14.25">
      <c r="A3" s="15" t="s">
        <v>0</v>
      </c>
      <c r="B3" s="49" t="s">
        <v>56</v>
      </c>
      <c r="C3" s="50"/>
      <c r="D3" s="50"/>
      <c r="E3" s="50"/>
      <c r="F3" s="50"/>
      <c r="G3" s="50"/>
      <c r="H3" s="50"/>
      <c r="I3" s="50"/>
      <c r="J3" s="50"/>
      <c r="K3" s="50"/>
      <c r="L3" s="51"/>
    </row>
    <row r="4" spans="1:12" ht="14.25">
      <c r="A4" s="15" t="s">
        <v>1</v>
      </c>
      <c r="B4" s="14" t="s">
        <v>45</v>
      </c>
      <c r="C4" s="14" t="s">
        <v>46</v>
      </c>
      <c r="D4" s="14" t="s">
        <v>47</v>
      </c>
      <c r="E4" s="14" t="s">
        <v>48</v>
      </c>
      <c r="F4" s="14" t="s">
        <v>67</v>
      </c>
      <c r="G4" s="14" t="s">
        <v>49</v>
      </c>
      <c r="H4" s="14" t="s">
        <v>50</v>
      </c>
      <c r="I4" s="14" t="s">
        <v>68</v>
      </c>
      <c r="J4" s="20" t="s">
        <v>69</v>
      </c>
      <c r="K4" s="33" t="s">
        <v>4</v>
      </c>
      <c r="L4" s="14" t="s">
        <v>58</v>
      </c>
    </row>
    <row r="5" spans="1:12" ht="14.25">
      <c r="A5" s="15" t="s">
        <v>5</v>
      </c>
      <c r="B5" s="2" t="s">
        <v>54</v>
      </c>
      <c r="C5" s="14" t="s">
        <v>53</v>
      </c>
      <c r="D5" s="14" t="s">
        <v>51</v>
      </c>
      <c r="E5" s="14" t="s">
        <v>70</v>
      </c>
      <c r="F5" s="14" t="s">
        <v>71</v>
      </c>
      <c r="G5" s="14" t="s">
        <v>55</v>
      </c>
      <c r="H5" s="14" t="s">
        <v>52</v>
      </c>
      <c r="I5" s="14" t="s">
        <v>63</v>
      </c>
      <c r="J5" s="20" t="s">
        <v>64</v>
      </c>
      <c r="K5" s="33" t="s">
        <v>65</v>
      </c>
      <c r="L5" s="14" t="s">
        <v>66</v>
      </c>
    </row>
    <row r="6" spans="1:12" ht="15">
      <c r="A6" s="15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73</v>
      </c>
      <c r="G6" s="1" t="s">
        <v>74</v>
      </c>
      <c r="H6" s="1" t="s">
        <v>59</v>
      </c>
      <c r="I6" s="1" t="s">
        <v>60</v>
      </c>
      <c r="J6" s="21" t="s">
        <v>61</v>
      </c>
      <c r="K6" s="34" t="s">
        <v>11</v>
      </c>
      <c r="L6" s="1" t="s">
        <v>57</v>
      </c>
    </row>
    <row r="7" spans="1:12" ht="28.5">
      <c r="A7" s="15" t="s">
        <v>12</v>
      </c>
      <c r="B7" s="6" t="s">
        <v>13</v>
      </c>
      <c r="C7" s="6" t="s">
        <v>13</v>
      </c>
      <c r="D7" s="6" t="s">
        <v>13</v>
      </c>
      <c r="E7" s="6" t="s">
        <v>13</v>
      </c>
      <c r="F7" s="6" t="s">
        <v>72</v>
      </c>
      <c r="G7" s="6" t="s">
        <v>14</v>
      </c>
      <c r="H7" s="6" t="s">
        <v>14</v>
      </c>
      <c r="I7" s="13" t="s">
        <v>15</v>
      </c>
      <c r="J7" s="22" t="s">
        <v>15</v>
      </c>
      <c r="K7" s="35" t="s">
        <v>15</v>
      </c>
      <c r="L7" s="13" t="s">
        <v>15</v>
      </c>
    </row>
    <row r="8" spans="1:12" ht="14.25">
      <c r="A8" s="15" t="s">
        <v>16</v>
      </c>
      <c r="B8" s="6">
        <v>4</v>
      </c>
      <c r="C8" s="6">
        <v>4</v>
      </c>
      <c r="D8" s="6">
        <v>4</v>
      </c>
      <c r="E8" s="6">
        <v>4</v>
      </c>
      <c r="F8" s="6">
        <v>4</v>
      </c>
      <c r="G8" s="6">
        <v>4</v>
      </c>
      <c r="H8" s="6">
        <v>4</v>
      </c>
      <c r="I8" s="6">
        <v>4</v>
      </c>
      <c r="J8" s="23">
        <v>4</v>
      </c>
      <c r="K8" s="36">
        <v>4</v>
      </c>
      <c r="L8" s="6">
        <v>4</v>
      </c>
    </row>
    <row r="9" spans="1:12" ht="14.25">
      <c r="A9" s="15" t="s">
        <v>17</v>
      </c>
      <c r="B9" s="2">
        <v>2104</v>
      </c>
      <c r="C9" s="6">
        <v>2104</v>
      </c>
      <c r="D9" s="2">
        <v>2104</v>
      </c>
      <c r="E9" s="6">
        <v>2104</v>
      </c>
      <c r="F9" s="6">
        <v>1280</v>
      </c>
      <c r="G9" s="6">
        <v>1052</v>
      </c>
      <c r="H9" s="2">
        <v>1052</v>
      </c>
      <c r="I9" s="6">
        <v>4208</v>
      </c>
      <c r="J9" s="23">
        <v>4208</v>
      </c>
      <c r="K9" s="36">
        <v>4208</v>
      </c>
      <c r="L9" s="6">
        <v>4208</v>
      </c>
    </row>
    <row r="10" spans="1:12" ht="14.25">
      <c r="A10" s="15" t="s">
        <v>18</v>
      </c>
      <c r="B10" s="2">
        <v>1560</v>
      </c>
      <c r="C10" s="6">
        <v>1170</v>
      </c>
      <c r="D10" s="2">
        <v>1560</v>
      </c>
      <c r="E10" s="6">
        <v>1170</v>
      </c>
      <c r="F10" s="6">
        <v>720</v>
      </c>
      <c r="G10" s="6">
        <v>780</v>
      </c>
      <c r="H10" s="2">
        <v>592</v>
      </c>
      <c r="I10" s="6">
        <v>3120</v>
      </c>
      <c r="J10" s="23">
        <v>3120</v>
      </c>
      <c r="K10" s="36">
        <v>3120</v>
      </c>
      <c r="L10" s="6">
        <v>3120</v>
      </c>
    </row>
    <row r="11" spans="1:12" ht="14.25">
      <c r="A11" s="15" t="s">
        <v>19</v>
      </c>
      <c r="B11" s="7" t="s">
        <v>20</v>
      </c>
      <c r="C11" s="7" t="s">
        <v>21</v>
      </c>
      <c r="D11" s="7" t="s">
        <v>20</v>
      </c>
      <c r="E11" s="7" t="s">
        <v>21</v>
      </c>
      <c r="F11" s="7" t="s">
        <v>62</v>
      </c>
      <c r="G11" s="7" t="s">
        <v>20</v>
      </c>
      <c r="H11" s="7" t="s">
        <v>21</v>
      </c>
      <c r="I11" s="7" t="s">
        <v>20</v>
      </c>
      <c r="J11" s="24" t="s">
        <v>20</v>
      </c>
      <c r="K11" s="37" t="s">
        <v>20</v>
      </c>
      <c r="L11" s="7" t="s">
        <v>20</v>
      </c>
    </row>
    <row r="12" spans="1:12" ht="14.25">
      <c r="A12" s="15" t="s">
        <v>22</v>
      </c>
      <c r="B12" s="4">
        <v>896</v>
      </c>
      <c r="C12" s="4">
        <v>912</v>
      </c>
      <c r="D12" s="4">
        <v>896</v>
      </c>
      <c r="E12" s="4">
        <v>912</v>
      </c>
      <c r="F12" s="4">
        <f>(320*10)/4</f>
        <v>800</v>
      </c>
      <c r="G12" s="4">
        <v>1200</v>
      </c>
      <c r="H12" s="4">
        <v>1200</v>
      </c>
      <c r="I12" s="4">
        <f>(246.4*10)/4</f>
        <v>616</v>
      </c>
      <c r="J12" s="25">
        <f>(320*10)/4</f>
        <v>800</v>
      </c>
      <c r="K12" s="38">
        <f>(246.4*10)/4</f>
        <v>616</v>
      </c>
      <c r="L12" s="4">
        <f>(320*10)/4</f>
        <v>800</v>
      </c>
    </row>
    <row r="13" spans="1:12" ht="14.25">
      <c r="A13" s="15" t="s">
        <v>23</v>
      </c>
      <c r="B13" s="4">
        <v>10</v>
      </c>
      <c r="C13" s="4">
        <v>10</v>
      </c>
      <c r="D13" s="4">
        <v>10</v>
      </c>
      <c r="E13" s="4">
        <v>10</v>
      </c>
      <c r="F13" s="4">
        <v>10</v>
      </c>
      <c r="G13" s="4">
        <v>10</v>
      </c>
      <c r="H13" s="4">
        <v>10</v>
      </c>
      <c r="I13" s="4">
        <v>10</v>
      </c>
      <c r="J13" s="25">
        <v>10</v>
      </c>
      <c r="K13" s="38">
        <v>10</v>
      </c>
      <c r="L13" s="4">
        <v>10</v>
      </c>
    </row>
    <row r="14" spans="1:12" ht="14.25">
      <c r="A14" s="16" t="s">
        <v>24</v>
      </c>
      <c r="B14" s="8">
        <f t="shared" ref="B14:G14" si="0">B12/B13*B8</f>
        <v>358.4</v>
      </c>
      <c r="C14" s="8">
        <f t="shared" si="0"/>
        <v>364.8</v>
      </c>
      <c r="D14" s="8">
        <f t="shared" si="0"/>
        <v>358.4</v>
      </c>
      <c r="E14" s="8">
        <f t="shared" si="0"/>
        <v>364.8</v>
      </c>
      <c r="F14" s="8">
        <f t="shared" si="0"/>
        <v>320</v>
      </c>
      <c r="G14" s="8">
        <f t="shared" si="0"/>
        <v>480</v>
      </c>
      <c r="H14" s="8">
        <f t="shared" ref="H14" si="1">H12/H13*H8</f>
        <v>480</v>
      </c>
      <c r="I14" s="8">
        <f t="shared" ref="I14:J14" si="2">I12/I13*I8</f>
        <v>246.4</v>
      </c>
      <c r="J14" s="26">
        <f t="shared" si="2"/>
        <v>320</v>
      </c>
      <c r="K14" s="39">
        <f t="shared" ref="K14:L14" si="3">K12/K13*K8</f>
        <v>246.4</v>
      </c>
      <c r="L14" s="8">
        <f t="shared" si="3"/>
        <v>320</v>
      </c>
    </row>
    <row r="15" spans="1:12" ht="14.25">
      <c r="A15" s="16" t="s">
        <v>25</v>
      </c>
      <c r="B15" s="8">
        <f t="shared" ref="B15:G15" si="4">B12/B13</f>
        <v>89.6</v>
      </c>
      <c r="C15" s="8">
        <f t="shared" si="4"/>
        <v>91.2</v>
      </c>
      <c r="D15" s="8">
        <f t="shared" si="4"/>
        <v>89.6</v>
      </c>
      <c r="E15" s="8">
        <f t="shared" si="4"/>
        <v>91.2</v>
      </c>
      <c r="F15" s="8">
        <f t="shared" si="4"/>
        <v>80</v>
      </c>
      <c r="G15" s="8">
        <f t="shared" si="4"/>
        <v>120</v>
      </c>
      <c r="H15" s="8">
        <f t="shared" ref="H15" si="5">H12/H13</f>
        <v>120</v>
      </c>
      <c r="I15" s="8">
        <f t="shared" ref="I15:J15" si="6">I12/I13</f>
        <v>61.6</v>
      </c>
      <c r="J15" s="26">
        <f t="shared" si="6"/>
        <v>80</v>
      </c>
      <c r="K15" s="39">
        <f t="shared" ref="K15:L15" si="7">K12/K13</f>
        <v>61.6</v>
      </c>
      <c r="L15" s="8">
        <f t="shared" si="7"/>
        <v>80</v>
      </c>
    </row>
    <row r="16" spans="1:12" ht="14.25">
      <c r="A16" s="16" t="s">
        <v>26</v>
      </c>
      <c r="B16" s="14">
        <v>2104</v>
      </c>
      <c r="C16" s="14">
        <v>2104</v>
      </c>
      <c r="D16" s="14">
        <v>2104</v>
      </c>
      <c r="E16" s="14">
        <v>2104</v>
      </c>
      <c r="F16" s="14">
        <v>1280</v>
      </c>
      <c r="G16" s="14">
        <v>1052</v>
      </c>
      <c r="H16" s="14">
        <v>1052</v>
      </c>
      <c r="I16" s="14">
        <v>4208</v>
      </c>
      <c r="J16" s="20">
        <v>4208</v>
      </c>
      <c r="K16" s="33">
        <v>4208</v>
      </c>
      <c r="L16" s="14">
        <v>4208</v>
      </c>
    </row>
    <row r="17" spans="1:12" ht="14.25">
      <c r="A17" s="16" t="s">
        <v>27</v>
      </c>
      <c r="B17" s="9">
        <f t="shared" ref="B17:G17" si="8">B18/B8</f>
        <v>1252</v>
      </c>
      <c r="C17" s="9">
        <f t="shared" si="8"/>
        <v>1252</v>
      </c>
      <c r="D17" s="9">
        <f t="shared" si="8"/>
        <v>1252</v>
      </c>
      <c r="E17" s="9">
        <f t="shared" si="8"/>
        <v>1252</v>
      </c>
      <c r="F17" s="9">
        <f t="shared" si="8"/>
        <v>1252</v>
      </c>
      <c r="G17" s="9">
        <f t="shared" si="8"/>
        <v>1252</v>
      </c>
      <c r="H17" s="9">
        <f t="shared" ref="H17" si="9">H18/H8</f>
        <v>1252</v>
      </c>
      <c r="I17" s="9">
        <f t="shared" ref="I17:J17" si="10">I18/I8</f>
        <v>1252</v>
      </c>
      <c r="J17" s="27">
        <f t="shared" si="10"/>
        <v>1252</v>
      </c>
      <c r="K17" s="40">
        <f t="shared" ref="K17:L17" si="11">K18/K8</f>
        <v>1252</v>
      </c>
      <c r="L17" s="9">
        <f t="shared" si="11"/>
        <v>1252</v>
      </c>
    </row>
    <row r="18" spans="1:12" ht="14.25">
      <c r="A18" s="15" t="s">
        <v>28</v>
      </c>
      <c r="B18" s="17">
        <v>5008</v>
      </c>
      <c r="C18" s="17">
        <v>5008</v>
      </c>
      <c r="D18" s="17">
        <v>5008</v>
      </c>
      <c r="E18" s="17">
        <v>5008</v>
      </c>
      <c r="F18" s="17">
        <v>5008</v>
      </c>
      <c r="G18" s="17">
        <v>5008</v>
      </c>
      <c r="H18" s="17">
        <v>5008</v>
      </c>
      <c r="I18" s="17">
        <v>5008</v>
      </c>
      <c r="J18" s="28">
        <v>5008</v>
      </c>
      <c r="K18" s="41">
        <v>5008</v>
      </c>
      <c r="L18" s="17">
        <v>5008</v>
      </c>
    </row>
    <row r="19" spans="1:12" ht="14.25">
      <c r="A19" s="15" t="s">
        <v>29</v>
      </c>
      <c r="B19" s="17">
        <v>2352</v>
      </c>
      <c r="C19" s="17">
        <v>2400</v>
      </c>
      <c r="D19" s="17">
        <v>1612</v>
      </c>
      <c r="E19" s="17">
        <v>1212</v>
      </c>
      <c r="F19" s="17">
        <v>762</v>
      </c>
      <c r="G19" s="17">
        <v>824</v>
      </c>
      <c r="H19" s="17">
        <v>798</v>
      </c>
      <c r="I19" s="17">
        <v>3162</v>
      </c>
      <c r="J19" s="28">
        <v>3162</v>
      </c>
      <c r="K19" s="41">
        <v>3162</v>
      </c>
      <c r="L19" s="17">
        <v>3162</v>
      </c>
    </row>
    <row r="20" spans="1:12" ht="14.25">
      <c r="A20" s="18" t="s">
        <v>30</v>
      </c>
      <c r="B20" s="4">
        <v>300</v>
      </c>
      <c r="C20" s="4">
        <v>300</v>
      </c>
      <c r="D20" s="4">
        <v>300</v>
      </c>
      <c r="E20" s="4">
        <v>300</v>
      </c>
      <c r="F20" s="4">
        <v>300</v>
      </c>
      <c r="G20" s="4">
        <v>300</v>
      </c>
      <c r="H20" s="4">
        <v>300</v>
      </c>
      <c r="I20" s="4">
        <v>300</v>
      </c>
      <c r="J20" s="25">
        <v>300</v>
      </c>
      <c r="K20" s="38">
        <v>300</v>
      </c>
      <c r="L20" s="4">
        <v>300</v>
      </c>
    </row>
    <row r="21" spans="1:12" ht="14.25">
      <c r="A21" s="18" t="s">
        <v>31</v>
      </c>
      <c r="B21" s="10">
        <f t="shared" ref="B21:G21" si="12">MIN(IF(AND((B20*2)/MAX(ROUNDDOWN(B20*2/B14,0),1)&gt;=B14,(B20*2)/MAX(ROUNDDOWN(B20*2/B14,0),1)&lt;=666),(B20*2)/MAX(ROUNDDOWN(B20*2/B14,0),1),9999),IF(AND((B20*4/3)/MAX(ROUNDDOWN(B20*4/3/B14,0),1)&gt;=B14,(B20*4/3)/MAX(ROUNDDOWN(B20*4/3/B14,0),1)&lt;=666),(B20*4/3)/MAX(ROUNDDOWN(B20*4/3/B14,0),1),9999))</f>
        <v>400</v>
      </c>
      <c r="C21" s="10">
        <f t="shared" si="12"/>
        <v>400</v>
      </c>
      <c r="D21" s="10">
        <f t="shared" si="12"/>
        <v>400</v>
      </c>
      <c r="E21" s="10">
        <f t="shared" si="12"/>
        <v>400</v>
      </c>
      <c r="F21" s="10">
        <f t="shared" si="12"/>
        <v>400</v>
      </c>
      <c r="G21" s="10">
        <f t="shared" si="12"/>
        <v>600</v>
      </c>
      <c r="H21" s="10">
        <f t="shared" ref="H21" si="13">MIN(IF(AND((H20*2)/MAX(ROUNDDOWN(H20*2/H14,0),1)&gt;=H14,(H20*2)/MAX(ROUNDDOWN(H20*2/H14,0),1)&lt;=666),(H20*2)/MAX(ROUNDDOWN(H20*2/H14,0),1),9999),IF(AND((H20*4/3)/MAX(ROUNDDOWN(H20*4/3/H14,0),1)&gt;=H14,(H20*4/3)/MAX(ROUNDDOWN(H20*4/3/H14,0),1)&lt;=666),(H20*4/3)/MAX(ROUNDDOWN(H20*4/3/H14,0),1),9999))</f>
        <v>600</v>
      </c>
      <c r="I21" s="10">
        <f t="shared" ref="I21:J21" si="14">MIN(IF(AND((I20*2)/MAX(ROUNDDOWN(I20*2/I14,0),1)&gt;=I14,(I20*2)/MAX(ROUNDDOWN(I20*2/I14,0),1)&lt;=666),(I20*2)/MAX(ROUNDDOWN(I20*2/I14,0),1),9999),IF(AND((I20*4/3)/MAX(ROUNDDOWN(I20*4/3/I14,0),1)&gt;=I14,(I20*4/3)/MAX(ROUNDDOWN(I20*4/3/I14,0),1)&lt;=666),(I20*4/3)/MAX(ROUNDDOWN(I20*4/3/I14,0),1),9999))</f>
        <v>300</v>
      </c>
      <c r="J21" s="29">
        <f t="shared" si="14"/>
        <v>400</v>
      </c>
      <c r="K21" s="42">
        <f t="shared" ref="K21:L21" si="15">MIN(IF(AND((K20*2)/MAX(ROUNDDOWN(K20*2/K14,0),1)&gt;=K14,(K20*2)/MAX(ROUNDDOWN(K20*2/K14,0),1)&lt;=666),(K20*2)/MAX(ROUNDDOWN(K20*2/K14,0),1),9999),IF(AND((K20*4/3)/MAX(ROUNDDOWN(K20*4/3/K14,0),1)&gt;=K14,(K20*4/3)/MAX(ROUNDDOWN(K20*4/3/K14,0),1)&lt;=666),(K20*4/3)/MAX(ROUNDDOWN(K20*4/3/K14,0),1),9999))</f>
        <v>300</v>
      </c>
      <c r="L21" s="10">
        <f t="shared" si="15"/>
        <v>400</v>
      </c>
    </row>
    <row r="22" spans="1:12" ht="14.25">
      <c r="A22" s="18" t="s">
        <v>32</v>
      </c>
      <c r="B22" s="10">
        <f t="shared" ref="B22:G22" si="16">IF(B21=9999,"ERROR",B21)</f>
        <v>400</v>
      </c>
      <c r="C22" s="10">
        <f t="shared" si="16"/>
        <v>400</v>
      </c>
      <c r="D22" s="10">
        <f t="shared" si="16"/>
        <v>400</v>
      </c>
      <c r="E22" s="10">
        <f t="shared" si="16"/>
        <v>400</v>
      </c>
      <c r="F22" s="10">
        <f t="shared" si="16"/>
        <v>400</v>
      </c>
      <c r="G22" s="10">
        <f t="shared" si="16"/>
        <v>600</v>
      </c>
      <c r="H22" s="10">
        <f t="shared" ref="H22" si="17">IF(H21=9999,"ERROR",H21)</f>
        <v>600</v>
      </c>
      <c r="I22" s="10">
        <f t="shared" ref="I22:J22" si="18">IF(I21=9999,"ERROR",I21)</f>
        <v>300</v>
      </c>
      <c r="J22" s="29">
        <f t="shared" si="18"/>
        <v>400</v>
      </c>
      <c r="K22" s="42">
        <f t="shared" ref="K22:L22" si="19">IF(K21=9999,"ERROR",K21)</f>
        <v>300</v>
      </c>
      <c r="L22" s="10">
        <f t="shared" si="19"/>
        <v>400</v>
      </c>
    </row>
    <row r="23" spans="1:12" ht="14.25">
      <c r="A23" s="18" t="s">
        <v>33</v>
      </c>
      <c r="B23" s="10">
        <f t="shared" ref="B23:G23" si="20">IF(MID(B6,1,3)="0x4",IF((B14*B16/B18*1.05/2)&gt;B22/2,(B14*B16/B18*1.05/2),B22/2),IF((B14*B16/B18*1.05)&gt;B22/2,(B14*B16/B18*1.05),B22/2))</f>
        <v>200</v>
      </c>
      <c r="C23" s="10">
        <f t="shared" si="20"/>
        <v>200</v>
      </c>
      <c r="D23" s="10">
        <f t="shared" si="20"/>
        <v>200</v>
      </c>
      <c r="E23" s="10">
        <f t="shared" si="20"/>
        <v>200</v>
      </c>
      <c r="F23" s="10">
        <f t="shared" si="20"/>
        <v>200</v>
      </c>
      <c r="G23" s="10">
        <f t="shared" si="20"/>
        <v>300</v>
      </c>
      <c r="H23" s="10">
        <f t="shared" ref="H23" si="21">IF(MID(H6,1,3)="0x4",IF((H14*H16/H18*1.05/2)&gt;H22/2,(H14*H16/H18*1.05/2),H22/2),IF((H14*H16/H18*1.05)&gt;H22/2,(H14*H16/H18*1.05),H22/2))</f>
        <v>300</v>
      </c>
      <c r="I23" s="10">
        <f t="shared" ref="I23:J23" si="22">IF(MID(I6,1,3)="0x4",IF((I14*I16/I18*1.05/2)&gt;I22/2,(I14*I16/I18*1.05/2),I22/2),IF((I14*I16/I18*1.05)&gt;I22/2,(I14*I16/I18*1.05),I22/2))</f>
        <v>217.39092651757193</v>
      </c>
      <c r="J23" s="29">
        <f t="shared" si="22"/>
        <v>282.32587859424916</v>
      </c>
      <c r="K23" s="42">
        <f t="shared" ref="K23:L23" si="23">IF(MID(K6,1,3)="0x4",IF((K14*K16/K18*1.05/2)&gt;K22/2,(K14*K16/K18*1.05/2),K22/2),IF((K14*K16/K18*1.05)&gt;K22/2,(K14*K16/K18*1.05),K22/2))</f>
        <v>150</v>
      </c>
      <c r="L23" s="10">
        <f t="shared" si="23"/>
        <v>200</v>
      </c>
    </row>
    <row r="24" spans="1:12" ht="14.25">
      <c r="A24" s="18" t="s">
        <v>34</v>
      </c>
      <c r="B24" s="10">
        <f t="shared" ref="B24:G24" si="24">MIN(IF(AND((B20*2)/MAX(ROUNDDOWN(B20*2/B23,0),1)&gt;=B23,(B20*2)/MAX(ROUNDDOWN(B20*2/B23,0),1)&lt;=333),(B20*2)/MAX(ROUNDDOWN(B20*2/B23,0),1),9999),IF(OR((297)/MAX(ROUNDDOWN(297/B23,0),1)&lt;B23,AND((297)/MAX(ROUNDDOWN(297/B23,0),1)=297,B20=300)),9999,(297)/MAX(ROUNDDOWN(297/B23,0),1)))</f>
        <v>200</v>
      </c>
      <c r="C24" s="10">
        <f t="shared" si="24"/>
        <v>200</v>
      </c>
      <c r="D24" s="10">
        <f t="shared" si="24"/>
        <v>200</v>
      </c>
      <c r="E24" s="10">
        <f t="shared" si="24"/>
        <v>200</v>
      </c>
      <c r="F24" s="10">
        <f t="shared" si="24"/>
        <v>200</v>
      </c>
      <c r="G24" s="10">
        <f t="shared" si="24"/>
        <v>300</v>
      </c>
      <c r="H24" s="10">
        <f t="shared" ref="H24" si="25">MIN(IF(AND((H20*2)/MAX(ROUNDDOWN(H20*2/H23,0),1)&gt;=H23,(H20*2)/MAX(ROUNDDOWN(H20*2/H23,0),1)&lt;=333),(H20*2)/MAX(ROUNDDOWN(H20*2/H23,0),1),9999),IF(OR((297)/MAX(ROUNDDOWN(297/H23,0),1)&lt;H23,AND((297)/MAX(ROUNDDOWN(297/H23,0),1)=297,H20=300)),9999,(297)/MAX(ROUNDDOWN(297/H23,0),1)))</f>
        <v>300</v>
      </c>
      <c r="I24" s="10">
        <f t="shared" ref="I24:J24" si="26">MIN(IF(AND((I20*2)/MAX(ROUNDDOWN(I20*2/I23,0),1)&gt;=I23,(I20*2)/MAX(ROUNDDOWN(I20*2/I23,0),1)&lt;=333),(I20*2)/MAX(ROUNDDOWN(I20*2/I23,0),1),9999),IF(OR((297)/MAX(ROUNDDOWN(297/I23,0),1)&lt;I23,AND((297)/MAX(ROUNDDOWN(297/I23,0),1)=297,I20=300)),9999,(297)/MAX(ROUNDDOWN(297/I23,0),1)))</f>
        <v>300</v>
      </c>
      <c r="J24" s="29">
        <f t="shared" si="26"/>
        <v>300</v>
      </c>
      <c r="K24" s="42">
        <f t="shared" ref="K24:L24" si="27">MIN(IF(AND((K20*2)/MAX(ROUNDDOWN(K20*2/K23,0),1)&gt;=K23,(K20*2)/MAX(ROUNDDOWN(K20*2/K23,0),1)&lt;=333),(K20*2)/MAX(ROUNDDOWN(K20*2/K23,0),1),9999),IF(OR((297)/MAX(ROUNDDOWN(297/K23,0),1)&lt;K23,AND((297)/MAX(ROUNDDOWN(297/K23,0),1)=297,K20=300)),9999,(297)/MAX(ROUNDDOWN(297/K23,0),1)))</f>
        <v>150</v>
      </c>
      <c r="L24" s="10">
        <f t="shared" si="27"/>
        <v>200</v>
      </c>
    </row>
    <row r="25" spans="1:12" ht="14.25">
      <c r="A25" s="18" t="s">
        <v>35</v>
      </c>
      <c r="B25" s="10">
        <f t="shared" ref="B25:G25" si="28">IF(B24=9999,"ERROR",B24)</f>
        <v>200</v>
      </c>
      <c r="C25" s="10">
        <f t="shared" si="28"/>
        <v>200</v>
      </c>
      <c r="D25" s="10">
        <f t="shared" si="28"/>
        <v>200</v>
      </c>
      <c r="E25" s="10">
        <f t="shared" si="28"/>
        <v>200</v>
      </c>
      <c r="F25" s="10">
        <f t="shared" si="28"/>
        <v>200</v>
      </c>
      <c r="G25" s="10">
        <f t="shared" si="28"/>
        <v>300</v>
      </c>
      <c r="H25" s="10">
        <f t="shared" ref="H25" si="29">IF(H24=9999,"ERROR",H24)</f>
        <v>300</v>
      </c>
      <c r="I25" s="10">
        <f t="shared" ref="I25:J25" si="30">IF(I24=9999,"ERROR",I24)</f>
        <v>300</v>
      </c>
      <c r="J25" s="29">
        <f t="shared" si="30"/>
        <v>300</v>
      </c>
      <c r="K25" s="42">
        <f t="shared" ref="K25:L25" si="31">IF(K24=9999,"ERROR",K24)</f>
        <v>150</v>
      </c>
      <c r="L25" s="10">
        <f t="shared" si="31"/>
        <v>200</v>
      </c>
    </row>
    <row r="26" spans="1:12" ht="14.25">
      <c r="A26" s="15" t="s">
        <v>36</v>
      </c>
      <c r="B26" s="14">
        <v>2080</v>
      </c>
      <c r="C26" s="14">
        <v>2080</v>
      </c>
      <c r="D26" s="14">
        <v>2080</v>
      </c>
      <c r="E26" s="14">
        <v>2080</v>
      </c>
      <c r="F26" s="14">
        <v>1280</v>
      </c>
      <c r="G26" s="14">
        <v>1052</v>
      </c>
      <c r="H26" s="14">
        <v>1052</v>
      </c>
      <c r="I26" s="14">
        <v>4160</v>
      </c>
      <c r="J26" s="20">
        <v>4160</v>
      </c>
      <c r="K26" s="33">
        <v>4160</v>
      </c>
      <c r="L26" s="14">
        <v>4160</v>
      </c>
    </row>
    <row r="27" spans="1:12" ht="14.25">
      <c r="A27" s="15" t="s">
        <v>37</v>
      </c>
      <c r="B27" s="14">
        <v>1560</v>
      </c>
      <c r="C27" s="14">
        <v>1170</v>
      </c>
      <c r="D27" s="14">
        <v>1560</v>
      </c>
      <c r="E27" s="14">
        <v>1170</v>
      </c>
      <c r="F27" s="14">
        <v>720</v>
      </c>
      <c r="G27" s="14">
        <v>780</v>
      </c>
      <c r="H27" s="14">
        <v>592</v>
      </c>
      <c r="I27" s="14">
        <v>3120</v>
      </c>
      <c r="J27" s="20">
        <v>3120</v>
      </c>
      <c r="K27" s="33">
        <v>3120</v>
      </c>
      <c r="L27" s="14">
        <v>3120</v>
      </c>
    </row>
    <row r="28" spans="1:12" ht="14.25">
      <c r="A28" s="15" t="s">
        <v>38</v>
      </c>
      <c r="B28" s="14">
        <v>2080</v>
      </c>
      <c r="C28" s="14">
        <v>2080</v>
      </c>
      <c r="D28" s="14">
        <v>2104</v>
      </c>
      <c r="E28" s="14">
        <v>2080</v>
      </c>
      <c r="F28" s="14">
        <v>1280</v>
      </c>
      <c r="G28" s="14">
        <v>1052</v>
      </c>
      <c r="H28" s="14">
        <v>1052</v>
      </c>
      <c r="I28" s="14">
        <v>4160</v>
      </c>
      <c r="J28" s="20">
        <v>4160</v>
      </c>
      <c r="K28" s="33">
        <v>4160</v>
      </c>
      <c r="L28" s="14">
        <v>4160</v>
      </c>
    </row>
    <row r="29" spans="1:12" ht="14.25">
      <c r="A29" s="15" t="s">
        <v>39</v>
      </c>
      <c r="B29" s="14">
        <v>1560</v>
      </c>
      <c r="C29" s="14">
        <v>1170</v>
      </c>
      <c r="D29" s="14">
        <v>1560</v>
      </c>
      <c r="E29" s="14">
        <v>1170</v>
      </c>
      <c r="F29" s="14">
        <v>720</v>
      </c>
      <c r="G29" s="14">
        <v>780</v>
      </c>
      <c r="H29" s="14">
        <v>592</v>
      </c>
      <c r="I29" s="14">
        <v>3120</v>
      </c>
      <c r="J29" s="20">
        <v>3120</v>
      </c>
      <c r="K29" s="33">
        <v>3120</v>
      </c>
      <c r="L29" s="14">
        <v>3120</v>
      </c>
    </row>
    <row r="30" spans="1:12" ht="14.25">
      <c r="A30" s="15" t="s">
        <v>40</v>
      </c>
      <c r="B30" s="9">
        <f t="shared" ref="B30:G30" si="32">B18/B14</f>
        <v>13.973214285714286</v>
      </c>
      <c r="C30" s="9">
        <f t="shared" si="32"/>
        <v>13.728070175438596</v>
      </c>
      <c r="D30" s="9">
        <f t="shared" si="32"/>
        <v>13.973214285714286</v>
      </c>
      <c r="E30" s="9">
        <f t="shared" si="32"/>
        <v>13.728070175438596</v>
      </c>
      <c r="F30" s="9">
        <f t="shared" si="32"/>
        <v>15.65</v>
      </c>
      <c r="G30" s="9">
        <f t="shared" si="32"/>
        <v>10.433333333333334</v>
      </c>
      <c r="H30" s="9">
        <f t="shared" ref="H30" si="33">H18/H14</f>
        <v>10.433333333333334</v>
      </c>
      <c r="I30" s="9">
        <f t="shared" ref="I30:J30" si="34">I18/I14</f>
        <v>20.324675324675326</v>
      </c>
      <c r="J30" s="27">
        <f t="shared" si="34"/>
        <v>15.65</v>
      </c>
      <c r="K30" s="40">
        <f t="shared" ref="K30:L30" si="35">K18/K14</f>
        <v>20.324675324675326</v>
      </c>
      <c r="L30" s="9">
        <f t="shared" si="35"/>
        <v>15.65</v>
      </c>
    </row>
    <row r="31" spans="1:12" ht="14.25">
      <c r="A31" s="15" t="s">
        <v>41</v>
      </c>
      <c r="B31" s="9">
        <f t="shared" ref="B31:G31" si="36">IF(MID(B6,1,3)="0x3",32+ROUNDUP(100/B30,0),0)</f>
        <v>40</v>
      </c>
      <c r="C31" s="9">
        <f t="shared" si="36"/>
        <v>40</v>
      </c>
      <c r="D31" s="9">
        <f t="shared" si="36"/>
        <v>40</v>
      </c>
      <c r="E31" s="9">
        <f t="shared" si="36"/>
        <v>40</v>
      </c>
      <c r="F31" s="9">
        <f t="shared" si="36"/>
        <v>39</v>
      </c>
      <c r="G31" s="9">
        <f t="shared" si="36"/>
        <v>42</v>
      </c>
      <c r="H31" s="9">
        <f t="shared" ref="H31" si="37">IF(MID(H6,1,3)="0x3",32+ROUNDUP(100/H30,0),0)</f>
        <v>42</v>
      </c>
      <c r="I31" s="9">
        <f t="shared" ref="I31:J31" si="38">IF(MID(I6,1,3)="0x3",32+ROUNDUP(100/I30,0),0)</f>
        <v>37</v>
      </c>
      <c r="J31" s="27">
        <f t="shared" si="38"/>
        <v>39</v>
      </c>
      <c r="K31" s="40">
        <f t="shared" ref="K31:L31" si="39">IF(MID(K6,1,3)="0x3",32+ROUNDUP(100/K30,0),0)</f>
        <v>0</v>
      </c>
      <c r="L31" s="9">
        <f t="shared" si="39"/>
        <v>0</v>
      </c>
    </row>
    <row r="32" spans="1:12" ht="14.25">
      <c r="A32" s="15" t="s">
        <v>42</v>
      </c>
      <c r="B32" s="9">
        <f t="shared" ref="B32:G32" si="40">B19-B29</f>
        <v>792</v>
      </c>
      <c r="C32" s="9">
        <f t="shared" si="40"/>
        <v>1230</v>
      </c>
      <c r="D32" s="9">
        <f t="shared" si="40"/>
        <v>52</v>
      </c>
      <c r="E32" s="9">
        <f t="shared" si="40"/>
        <v>42</v>
      </c>
      <c r="F32" s="9">
        <f t="shared" si="40"/>
        <v>42</v>
      </c>
      <c r="G32" s="9">
        <f t="shared" si="40"/>
        <v>44</v>
      </c>
      <c r="H32" s="9">
        <f t="shared" ref="H32" si="41">H19-H29</f>
        <v>206</v>
      </c>
      <c r="I32" s="9">
        <f t="shared" ref="I32:J32" si="42">I19-I29</f>
        <v>42</v>
      </c>
      <c r="J32" s="27">
        <f t="shared" si="42"/>
        <v>42</v>
      </c>
      <c r="K32" s="40">
        <f t="shared" ref="K32:L32" si="43">K19-K29</f>
        <v>42</v>
      </c>
      <c r="L32" s="9">
        <f t="shared" si="43"/>
        <v>42</v>
      </c>
    </row>
    <row r="33" spans="1:12" ht="14.25">
      <c r="A33" s="15" t="s">
        <v>43</v>
      </c>
      <c r="B33" s="5" t="s">
        <v>20</v>
      </c>
      <c r="C33" s="5" t="s">
        <v>21</v>
      </c>
      <c r="D33" s="5" t="s">
        <v>20</v>
      </c>
      <c r="E33" s="5" t="s">
        <v>21</v>
      </c>
      <c r="F33" s="3" t="s">
        <v>62</v>
      </c>
      <c r="G33" s="3" t="s">
        <v>20</v>
      </c>
      <c r="H33" s="5" t="s">
        <v>21</v>
      </c>
      <c r="I33" s="3" t="s">
        <v>20</v>
      </c>
      <c r="J33" s="30" t="s">
        <v>20</v>
      </c>
      <c r="K33" s="43" t="s">
        <v>20</v>
      </c>
      <c r="L33" s="3" t="s">
        <v>20</v>
      </c>
    </row>
    <row r="34" spans="1:12" ht="15">
      <c r="A34" s="15" t="s">
        <v>44</v>
      </c>
      <c r="B34" s="12">
        <f t="shared" ref="B34:G34" si="44">1000000/(B18*B19/B14)</f>
        <v>30.427506465845124</v>
      </c>
      <c r="C34" s="12">
        <f t="shared" si="44"/>
        <v>30.35143769968051</v>
      </c>
      <c r="D34" s="12">
        <f t="shared" si="44"/>
        <v>44.395468491109007</v>
      </c>
      <c r="E34" s="12">
        <f t="shared" si="44"/>
        <v>60.101856831050512</v>
      </c>
      <c r="F34" s="12">
        <f t="shared" si="44"/>
        <v>83.855332779888144</v>
      </c>
      <c r="G34" s="12">
        <f t="shared" si="44"/>
        <v>116.31874437792735</v>
      </c>
      <c r="H34" s="12">
        <f t="shared" ref="H34" si="45">1000000/(H18*H19/H14)</f>
        <v>120.10857815465181</v>
      </c>
      <c r="I34" s="12">
        <f t="shared" ref="I34:J34" si="46">1000000/(I18*I19/I14)</f>
        <v>15.560176456442621</v>
      </c>
      <c r="J34" s="31">
        <f t="shared" si="46"/>
        <v>20.208021372003401</v>
      </c>
      <c r="K34" s="44">
        <f t="shared" ref="K34:L34" si="47">1000000/(K18*K19/K14)</f>
        <v>15.560176456442621</v>
      </c>
      <c r="L34" s="12">
        <f t="shared" si="47"/>
        <v>20.208021372003401</v>
      </c>
    </row>
    <row r="35" spans="1:12" ht="14.25">
      <c r="A35" s="19" t="str">
        <f>$B$2 &amp;" Error Check"</f>
        <v>V35 Error Check</v>
      </c>
      <c r="B35" s="11" t="str">
        <f t="shared" ref="B35:H35" si="48">IF(IF(AND(MID($A$33,1,3)="V34",B25&gt;225),"V34 max CDSP 224M","")&amp;IF(B26/B8&gt;B17,"ERROR!! Htotal&lt;Hsize","")&amp;IF(B32&lt;(B31+2),"VBLANK &gt; EXTENSION LINE +2 ","")="","OK","NG")</f>
        <v>OK</v>
      </c>
      <c r="C35" s="11" t="str">
        <f t="shared" si="48"/>
        <v>OK</v>
      </c>
      <c r="D35" s="11" t="str">
        <f t="shared" si="48"/>
        <v>OK</v>
      </c>
      <c r="E35" s="11" t="str">
        <f t="shared" si="48"/>
        <v>OK</v>
      </c>
      <c r="F35" s="11" t="str">
        <f t="shared" si="48"/>
        <v>OK</v>
      </c>
      <c r="G35" s="11" t="str">
        <f t="shared" si="48"/>
        <v>OK</v>
      </c>
      <c r="H35" s="11" t="str">
        <f t="shared" si="48"/>
        <v>OK</v>
      </c>
      <c r="I35" s="11" t="str">
        <f t="shared" ref="I35:J35" si="49">IF(IF(AND(MID($A$33,1,3)="V34",I25&gt;225),"V34 max CDSP 224M","")&amp;IF(I26/I8&gt;I17,"ERROR!! Htotal&lt;Hsize","")&amp;IF(I32&lt;(I31+2),"VBLANK &gt; EXTENSION LINE +2 ","")="","OK","NG")</f>
        <v>OK</v>
      </c>
      <c r="J35" s="32" t="str">
        <f t="shared" si="49"/>
        <v>OK</v>
      </c>
      <c r="K35" s="45" t="str">
        <f t="shared" ref="K35:L35" si="50">IF(IF(AND(MID($A$33,1,3)="V34",K25&gt;225),"V34 max CDSP 224M","")&amp;IF(K26/K8&gt;K17,"ERROR!! Htotal&lt;Hsize","")&amp;IF(K32&lt;(K31+2),"VBLANK &gt; EXTENSION LINE +2 ","")="","OK","NG")</f>
        <v>OK</v>
      </c>
      <c r="L35" s="11" t="str">
        <f t="shared" si="50"/>
        <v>OK</v>
      </c>
    </row>
  </sheetData>
  <mergeCells count="2">
    <mergeCell ref="B2:L2"/>
    <mergeCell ref="B3:L3"/>
  </mergeCells>
  <phoneticPr fontId="1" type="noConversion"/>
  <conditionalFormatting sqref="B32">
    <cfRule type="cellIs" dxfId="8" priority="8" stopIfTrue="1" operator="lessThan">
      <formula>35</formula>
    </cfRule>
  </conditionalFormatting>
  <conditionalFormatting sqref="E32 G32:H32">
    <cfRule type="cellIs" dxfId="7" priority="12" stopIfTrue="1" operator="lessThan">
      <formula>35</formula>
    </cfRule>
  </conditionalFormatting>
  <conditionalFormatting sqref="D32">
    <cfRule type="cellIs" dxfId="6" priority="10" stopIfTrue="1" operator="lessThan">
      <formula>35</formula>
    </cfRule>
  </conditionalFormatting>
  <conditionalFormatting sqref="C32">
    <cfRule type="cellIs" dxfId="5" priority="9" stopIfTrue="1" operator="lessThan">
      <formula>35</formula>
    </cfRule>
  </conditionalFormatting>
  <conditionalFormatting sqref="L32">
    <cfRule type="cellIs" dxfId="4" priority="7" stopIfTrue="1" operator="lessThan">
      <formula>35</formula>
    </cfRule>
  </conditionalFormatting>
  <conditionalFormatting sqref="K32">
    <cfRule type="cellIs" dxfId="3" priority="6" stopIfTrue="1" operator="lessThan">
      <formula>35</formula>
    </cfRule>
  </conditionalFormatting>
  <conditionalFormatting sqref="J32">
    <cfRule type="cellIs" dxfId="2" priority="2" stopIfTrue="1" operator="lessThan">
      <formula>35</formula>
    </cfRule>
  </conditionalFormatting>
  <conditionalFormatting sqref="I32">
    <cfRule type="cellIs" dxfId="1" priority="4" stopIfTrue="1" operator="lessThan">
      <formula>35</formula>
    </cfRule>
  </conditionalFormatting>
  <conditionalFormatting sqref="F32">
    <cfRule type="cellIs" dxfId="0" priority="1" stopIfTrue="1" operator="lessThan">
      <formula>35</formula>
    </cfRule>
  </conditionalFormatting>
  <pageMargins left="0" right="0" top="0.74803149606299213" bottom="0.74803149606299213" header="0.31496062992125984" footer="0.31496062992125984"/>
  <pageSetup scale="5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" sqref="F7"/>
    </sheetView>
  </sheetViews>
  <sheetFormatPr defaultRowHeight="13.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Sony-IMX214 Sensor Modes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So, Kam Chiu - HK</dc:creator>
  <cp:lastModifiedBy>mh.chien</cp:lastModifiedBy>
  <cp:lastPrinted>2014-11-24T05:37:10Z</cp:lastPrinted>
  <dcterms:created xsi:type="dcterms:W3CDTF">2011-06-28T09:01:31Z</dcterms:created>
  <dcterms:modified xsi:type="dcterms:W3CDTF">2015-04-16T11:00:01Z</dcterms:modified>
</cp:coreProperties>
</file>