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ido\Desktop\ARX 3\"/>
    </mc:Choice>
  </mc:AlternateContent>
  <xr:revisionPtr revIDLastSave="0" documentId="13_ncr:1_{7624ABF9-C8FE-4A50-8F43-64A38B595C67}" xr6:coauthVersionLast="45" xr6:coauthVersionMax="45" xr10:uidLastSave="{00000000-0000-0000-0000-000000000000}"/>
  <bookViews>
    <workbookView xWindow="585" yWindow="690" windowWidth="21600" windowHeight="11430" xr2:uid="{03C9AC40-A221-4D70-9A46-085081290C0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0" i="1" l="1"/>
  <c r="U20" i="1"/>
  <c r="U21" i="1"/>
  <c r="V21" i="1" s="1"/>
  <c r="U14" i="1"/>
  <c r="V14" i="1" s="1"/>
  <c r="U8" i="1"/>
  <c r="V8" i="1" s="1"/>
  <c r="V3" i="1"/>
  <c r="U3" i="1"/>
  <c r="P22" i="1"/>
  <c r="P20" i="1"/>
  <c r="P17" i="1"/>
  <c r="P16" i="1"/>
  <c r="P15" i="1"/>
  <c r="P11" i="1"/>
  <c r="P10" i="1"/>
  <c r="O9" i="1"/>
  <c r="P9" i="1" s="1"/>
  <c r="N21" i="1"/>
  <c r="O21" i="1" s="1"/>
  <c r="P21" i="1" s="1"/>
  <c r="N14" i="1"/>
  <c r="O14" i="1" s="1"/>
  <c r="P14" i="1" s="1"/>
  <c r="N8" i="1"/>
  <c r="O8" i="1" s="1"/>
  <c r="P8" i="1" s="1"/>
  <c r="P3" i="1"/>
  <c r="O3" i="1"/>
  <c r="N3" i="1"/>
  <c r="J22" i="1" l="1"/>
  <c r="I22" i="1"/>
  <c r="J20" i="1"/>
  <c r="I20" i="1"/>
  <c r="J17" i="1"/>
  <c r="I17" i="1"/>
  <c r="J16" i="1"/>
  <c r="I16" i="1"/>
  <c r="J15" i="1"/>
  <c r="I15" i="1"/>
  <c r="J11" i="1"/>
  <c r="I11" i="1"/>
  <c r="J10" i="1"/>
  <c r="I10" i="1"/>
  <c r="J9" i="1"/>
  <c r="I9" i="1"/>
  <c r="J21" i="1"/>
  <c r="I21" i="1"/>
  <c r="I14" i="1"/>
  <c r="J14" i="1" s="1"/>
  <c r="J8" i="1"/>
  <c r="I8" i="1"/>
  <c r="J5" i="1"/>
  <c r="I5" i="1"/>
  <c r="J4" i="1"/>
  <c r="I4" i="1"/>
  <c r="J3" i="1"/>
  <c r="I3" i="1"/>
  <c r="D22" i="1"/>
  <c r="D20" i="1"/>
  <c r="D17" i="1"/>
  <c r="D16" i="1"/>
  <c r="D15" i="1"/>
  <c r="D11" i="1"/>
  <c r="D10" i="1"/>
  <c r="D9" i="1"/>
  <c r="D5" i="1"/>
  <c r="D4" i="1"/>
  <c r="D21" i="1"/>
  <c r="D14" i="1"/>
  <c r="D8" i="1"/>
  <c r="D3" i="1"/>
  <c r="C22" i="1"/>
  <c r="C20" i="1"/>
  <c r="C17" i="1"/>
  <c r="C16" i="1"/>
  <c r="C15" i="1"/>
  <c r="C11" i="1"/>
  <c r="C10" i="1"/>
  <c r="C9" i="1"/>
  <c r="C21" i="1"/>
  <c r="C14" i="1"/>
  <c r="C8" i="1"/>
  <c r="C5" i="1"/>
  <c r="C4" i="1"/>
  <c r="C3" i="1"/>
  <c r="H22" i="1"/>
  <c r="H20" i="1"/>
  <c r="H17" i="1"/>
  <c r="H16" i="1"/>
  <c r="H15" i="1"/>
  <c r="H11" i="1"/>
  <c r="H10" i="1"/>
  <c r="H9" i="1"/>
  <c r="H5" i="1"/>
  <c r="H4" i="1"/>
  <c r="H21" i="1"/>
  <c r="H14" i="1"/>
  <c r="H8" i="1"/>
  <c r="H3" i="1"/>
  <c r="B22" i="1"/>
  <c r="B20" i="1"/>
  <c r="B17" i="1"/>
  <c r="B5" i="1"/>
  <c r="B16" i="1"/>
  <c r="B15" i="1"/>
  <c r="B11" i="1"/>
  <c r="B10" i="1"/>
  <c r="B9" i="1"/>
  <c r="B4" i="1"/>
  <c r="B21" i="1"/>
  <c r="B14" i="1"/>
  <c r="B8" i="1"/>
  <c r="B3" i="1"/>
</calcChain>
</file>

<file path=xl/sharedStrings.xml><?xml version="1.0" encoding="utf-8"?>
<sst xmlns="http://schemas.openxmlformats.org/spreadsheetml/2006/main" count="88" uniqueCount="25">
  <si>
    <t>EDP</t>
  </si>
  <si>
    <t>L1d=32kB 
L1i=64kB</t>
  </si>
  <si>
    <t>L1d=64kB 
L1i=128kB</t>
  </si>
  <si>
    <t>L1d=128kB 
L1i=128kB</t>
  </si>
  <si>
    <t>L2=512kB</t>
  </si>
  <si>
    <t>L2=1024kB</t>
  </si>
  <si>
    <t>L2=2048kB</t>
  </si>
  <si>
    <t>L2=4096kB</t>
  </si>
  <si>
    <t>L1 assoc=1
L2 assoc=2</t>
  </si>
  <si>
    <t>L1 assoc=2
L2 assoc=4</t>
  </si>
  <si>
    <t>L1 assoc=4
L2 assoc=8</t>
  </si>
  <si>
    <t>L1 assoc=8
L2 assoc=16</t>
  </si>
  <si>
    <t>cache line=32</t>
  </si>
  <si>
    <t>cache line = 64</t>
  </si>
  <si>
    <t>cache line = 128</t>
  </si>
  <si>
    <t>Energy</t>
  </si>
  <si>
    <t>bzip</t>
  </si>
  <si>
    <t>mcf</t>
  </si>
  <si>
    <t>libm</t>
  </si>
  <si>
    <t>Power</t>
  </si>
  <si>
    <t>sjeng</t>
  </si>
  <si>
    <t>L1 CACHE SIZE</t>
  </si>
  <si>
    <t>L2 CACHE SIZE</t>
  </si>
  <si>
    <t>CACHE ASSOCIATIVITY</t>
  </si>
  <si>
    <t>CACHE LINE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</si>
</sst>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0" borderId="0" xfId="0"/>
    <xf numFmtId="0" fontId="0" fillId="2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0" borderId="0" xfId="0" applyAlignment="1">
      <alignment wrapText="1"/>
    </xf>
    <xf numFmtId="0" fontId="0" fillId="5" borderId="0" xfId="0" applyFill="1"/>
    <xf numFmtId="0" fontId="0" fillId="6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EDP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Sheet1!$A$2:$A$23</c:f>
              <c:strCache>
                <c:ptCount val="21"/>
                <c:pt idx="0">
                  <c:v>L1 CACHE SIZE</c:v>
                </c:pt>
                <c:pt idx="1">
                  <c:v>L1d=32kB 
L1i=64kB</c:v>
                </c:pt>
                <c:pt idx="2">
                  <c:v>L1d=64kB 
L1i=128kB</c:v>
                </c:pt>
                <c:pt idx="3">
                  <c:v>L1d=128kB 
L1i=128kB</c:v>
                </c:pt>
                <c:pt idx="5">
                  <c:v>L2 CACHE SIZE</c:v>
                </c:pt>
                <c:pt idx="6">
                  <c:v>L2=512kB</c:v>
                </c:pt>
                <c:pt idx="7">
                  <c:v>L2=1024kB</c:v>
                </c:pt>
                <c:pt idx="8">
                  <c:v>L2=2048kB</c:v>
                </c:pt>
                <c:pt idx="9">
                  <c:v>L2=4096kB</c:v>
                </c:pt>
                <c:pt idx="11">
                  <c:v>CACHE ASSOCIATIVITY</c:v>
                </c:pt>
                <c:pt idx="12">
                  <c:v>L1 assoc=1
L2 assoc=2</c:v>
                </c:pt>
                <c:pt idx="13">
                  <c:v>L1 assoc=2
L2 assoc=4</c:v>
                </c:pt>
                <c:pt idx="14">
                  <c:v>L1 assoc=4
L2 assoc=8</c:v>
                </c:pt>
                <c:pt idx="15">
                  <c:v>L1 assoc=8
L2 assoc=16</c:v>
                </c:pt>
                <c:pt idx="17">
                  <c:v>CACHE LINE SIZE</c:v>
                </c:pt>
                <c:pt idx="18">
                  <c:v>cache line=32</c:v>
                </c:pt>
                <c:pt idx="19">
                  <c:v>cache line = 64</c:v>
                </c:pt>
                <c:pt idx="20">
                  <c:v>cache line = 128</c:v>
                </c:pt>
              </c:strCache>
            </c:strRef>
          </c:cat>
          <c:val>
            <c:numRef>
              <c:f>Sheet1!$D$2:$D$23</c:f>
              <c:numCache>
                <c:formatCode>General</c:formatCode>
                <c:ptCount val="22"/>
                <c:pt idx="1">
                  <c:v>9.8036142269792067E-3</c:v>
                </c:pt>
                <c:pt idx="2">
                  <c:v>1.7029605616792912E-2</c:v>
                </c:pt>
                <c:pt idx="3">
                  <c:v>1.8607073881757568E-2</c:v>
                </c:pt>
                <c:pt idx="6">
                  <c:v>9.8036142269792067E-3</c:v>
                </c:pt>
                <c:pt idx="7">
                  <c:v>9.3805640119112178E-3</c:v>
                </c:pt>
                <c:pt idx="8">
                  <c:v>1.8632527644643019E-2</c:v>
                </c:pt>
                <c:pt idx="9">
                  <c:v>8.796944725305688E-3</c:v>
                </c:pt>
                <c:pt idx="12">
                  <c:v>9.8036142269792067E-3</c:v>
                </c:pt>
                <c:pt idx="13">
                  <c:v>9.5998411135120761E-3</c:v>
                </c:pt>
                <c:pt idx="14">
                  <c:v>8.892582117348953E-3</c:v>
                </c:pt>
                <c:pt idx="15">
                  <c:v>1.0130075401772536E-2</c:v>
                </c:pt>
                <c:pt idx="18">
                  <c:v>8.6552128742923146E-3</c:v>
                </c:pt>
                <c:pt idx="19">
                  <c:v>9.8036142269792067E-3</c:v>
                </c:pt>
                <c:pt idx="20">
                  <c:v>1.015958529817461E-2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0-43E9-9AFA-12F925F564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1257376"/>
        <c:axId val="811256128"/>
      </c:barChart>
      <c:catAx>
        <c:axId val="811257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6128"/>
        <c:crosses val="autoZero"/>
        <c:auto val="1"/>
        <c:lblAlgn val="ctr"/>
        <c:lblOffset val="100"/>
        <c:noMultiLvlLbl val="0"/>
      </c:catAx>
      <c:valAx>
        <c:axId val="81125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73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EDP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Sheet1!$G$2:$G$23</c:f>
              <c:strCache>
                <c:ptCount val="21"/>
                <c:pt idx="0">
                  <c:v>L1 CACHE SIZE</c:v>
                </c:pt>
                <c:pt idx="1">
                  <c:v>L1d=32kB 
L1i=64kB</c:v>
                </c:pt>
                <c:pt idx="2">
                  <c:v>L1d=64kB 
L1i=128kB</c:v>
                </c:pt>
                <c:pt idx="3">
                  <c:v>L1d=128kB 
L1i=128kB</c:v>
                </c:pt>
                <c:pt idx="5">
                  <c:v>L2 CACHE SIZE</c:v>
                </c:pt>
                <c:pt idx="6">
                  <c:v>L2=512kB</c:v>
                </c:pt>
                <c:pt idx="7">
                  <c:v>L2=1024kB</c:v>
                </c:pt>
                <c:pt idx="8">
                  <c:v>L2=2048kB</c:v>
                </c:pt>
                <c:pt idx="9">
                  <c:v>L2=4096kB</c:v>
                </c:pt>
                <c:pt idx="11">
                  <c:v>CACHE ASSOCIATIVITY</c:v>
                </c:pt>
                <c:pt idx="12">
                  <c:v>L1 assoc=1
L2 assoc=2</c:v>
                </c:pt>
                <c:pt idx="13">
                  <c:v>L1 assoc=2
L2 assoc=4</c:v>
                </c:pt>
                <c:pt idx="14">
                  <c:v>L1 assoc=4
L2 assoc=8</c:v>
                </c:pt>
                <c:pt idx="15">
                  <c:v>L1 assoc=8
L2 assoc=16</c:v>
                </c:pt>
                <c:pt idx="17">
                  <c:v>CACHE LINE SIZE</c:v>
                </c:pt>
                <c:pt idx="18">
                  <c:v>cache line=32</c:v>
                </c:pt>
                <c:pt idx="19">
                  <c:v>cache line = 64</c:v>
                </c:pt>
                <c:pt idx="20">
                  <c:v>cache line = 128</c:v>
                </c:pt>
              </c:strCache>
            </c:strRef>
          </c:cat>
          <c:val>
            <c:numRef>
              <c:f>Sheet1!$J$2:$J$23</c:f>
              <c:numCache>
                <c:formatCode>General</c:formatCode>
                <c:ptCount val="22"/>
                <c:pt idx="1">
                  <c:v>4.0694066695461627E-3</c:v>
                </c:pt>
                <c:pt idx="2">
                  <c:v>6.7931615558289608E-3</c:v>
                </c:pt>
                <c:pt idx="3">
                  <c:v>8.2901069904935485E-3</c:v>
                </c:pt>
                <c:pt idx="6">
                  <c:v>4.0694066695461627E-3</c:v>
                </c:pt>
                <c:pt idx="7">
                  <c:v>4.0538974942102846E-3</c:v>
                </c:pt>
                <c:pt idx="8">
                  <c:v>4.0377583401377815E-3</c:v>
                </c:pt>
                <c:pt idx="9">
                  <c:v>4.0530802501002492E-3</c:v>
                </c:pt>
                <c:pt idx="12">
                  <c:v>4.0694066695461627E-3</c:v>
                </c:pt>
                <c:pt idx="13">
                  <c:v>4.0799224820318291E-3</c:v>
                </c:pt>
                <c:pt idx="14">
                  <c:v>3.9345155912242184E-3</c:v>
                </c:pt>
                <c:pt idx="15">
                  <c:v>9.2265860356691327E-3</c:v>
                </c:pt>
                <c:pt idx="18">
                  <c:v>3.1170794628281842E-3</c:v>
                </c:pt>
                <c:pt idx="19">
                  <c:v>4.0694066695461627E-3</c:v>
                </c:pt>
                <c:pt idx="20">
                  <c:v>3.8969370874342717E-3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0-43E9-9AFA-12F925F564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1257376"/>
        <c:axId val="811256128"/>
      </c:barChart>
      <c:catAx>
        <c:axId val="811257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6128"/>
        <c:crosses val="autoZero"/>
        <c:auto val="1"/>
        <c:lblAlgn val="ctr"/>
        <c:lblOffset val="100"/>
        <c:noMultiLvlLbl val="0"/>
      </c:catAx>
      <c:valAx>
        <c:axId val="81125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73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EDP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Sheet1!$M$2:$M$23</c:f>
              <c:strCache>
                <c:ptCount val="21"/>
                <c:pt idx="0">
                  <c:v>L1 CACHE SIZE</c:v>
                </c:pt>
                <c:pt idx="1">
                  <c:v>L1d=32kB 
L1i=64kB</c:v>
                </c:pt>
                <c:pt idx="2">
                  <c:v>L1d=64kB 
L1i=128kB</c:v>
                </c:pt>
                <c:pt idx="3">
                  <c:v>L1d=128kB 
L1i=128kB</c:v>
                </c:pt>
                <c:pt idx="5">
                  <c:v>L2 CACHE SIZE</c:v>
                </c:pt>
                <c:pt idx="6">
                  <c:v>L2=512kB</c:v>
                </c:pt>
                <c:pt idx="7">
                  <c:v>L2=1024kB</c:v>
                </c:pt>
                <c:pt idx="8">
                  <c:v>L2=2048kB</c:v>
                </c:pt>
                <c:pt idx="9">
                  <c:v>L2=4096kB</c:v>
                </c:pt>
                <c:pt idx="11">
                  <c:v>CACHE ASSOCIATIVITY</c:v>
                </c:pt>
                <c:pt idx="12">
                  <c:v>L1 assoc=1
L2 assoc=2</c:v>
                </c:pt>
                <c:pt idx="13">
                  <c:v>L1 assoc=2
L2 assoc=4</c:v>
                </c:pt>
                <c:pt idx="14">
                  <c:v>L1 assoc=4
L2 assoc=8</c:v>
                </c:pt>
                <c:pt idx="15">
                  <c:v>L1 assoc=8
L2 assoc=16</c:v>
                </c:pt>
                <c:pt idx="17">
                  <c:v>CACHE LINE SIZE</c:v>
                </c:pt>
                <c:pt idx="18">
                  <c:v>cache line=32</c:v>
                </c:pt>
                <c:pt idx="19">
                  <c:v>cache line = 64</c:v>
                </c:pt>
                <c:pt idx="20">
                  <c:v>cache line = 128</c:v>
                </c:pt>
              </c:strCache>
            </c:strRef>
          </c:cat>
          <c:val>
            <c:numRef>
              <c:f>Sheet1!$P$2:$P$23</c:f>
              <c:numCache>
                <c:formatCode>General</c:formatCode>
                <c:ptCount val="22"/>
                <c:pt idx="1">
                  <c:v>0.30137804397154727</c:v>
                </c:pt>
                <c:pt idx="2">
                  <c:v>0.2569851240643205</c:v>
                </c:pt>
                <c:pt idx="3">
                  <c:v>0.29934297098071494</c:v>
                </c:pt>
                <c:pt idx="6">
                  <c:v>0.30137804397154727</c:v>
                </c:pt>
                <c:pt idx="7">
                  <c:v>0.30207477070380073</c:v>
                </c:pt>
                <c:pt idx="8">
                  <c:v>0.30326061185742792</c:v>
                </c:pt>
                <c:pt idx="9">
                  <c:v>0.30501751786821696</c:v>
                </c:pt>
                <c:pt idx="12">
                  <c:v>0.30137804397154727</c:v>
                </c:pt>
                <c:pt idx="13">
                  <c:v>0.30236651926261482</c:v>
                </c:pt>
                <c:pt idx="14">
                  <c:v>0.26768957070738009</c:v>
                </c:pt>
                <c:pt idx="15">
                  <c:v>0.29300658536412888</c:v>
                </c:pt>
                <c:pt idx="18">
                  <c:v>0.63466929233114777</c:v>
                </c:pt>
                <c:pt idx="19">
                  <c:v>0.30137804397154727</c:v>
                </c:pt>
                <c:pt idx="20">
                  <c:v>0.13475943049743208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0-43E9-9AFA-12F925F564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1257376"/>
        <c:axId val="811256128"/>
      </c:barChart>
      <c:catAx>
        <c:axId val="811257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6128"/>
        <c:crosses val="autoZero"/>
        <c:auto val="1"/>
        <c:lblAlgn val="ctr"/>
        <c:lblOffset val="100"/>
        <c:noMultiLvlLbl val="0"/>
      </c:catAx>
      <c:valAx>
        <c:axId val="81125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73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EDP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Sheet1!$V$1</c:f>
              <c:strCache>
                <c:ptCount val="1"/>
                <c:pt idx="0">
                  <c:v>EDP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Sheet1!$S$2:$S$23</c:f>
              <c:strCache>
                <c:ptCount val="21"/>
                <c:pt idx="0">
                  <c:v>L1 CACHE SIZE</c:v>
                </c:pt>
                <c:pt idx="1">
                  <c:v>L1d=32kB 
L1i=64kB</c:v>
                </c:pt>
                <c:pt idx="2">
                  <c:v>L1d=64kB 
L1i=128kB</c:v>
                </c:pt>
                <c:pt idx="3">
                  <c:v>L1d=128kB 
L1i=128kB</c:v>
                </c:pt>
                <c:pt idx="5">
                  <c:v>L2 CACHE SIZE</c:v>
                </c:pt>
                <c:pt idx="6">
                  <c:v>L2=512kB</c:v>
                </c:pt>
                <c:pt idx="7">
                  <c:v>L2=1024kB</c:v>
                </c:pt>
                <c:pt idx="8">
                  <c:v>L2=2048kB</c:v>
                </c:pt>
                <c:pt idx="9">
                  <c:v>L2=4096kB</c:v>
                </c:pt>
                <c:pt idx="11">
                  <c:v>CACHE ASSOCIATIVITY</c:v>
                </c:pt>
                <c:pt idx="12">
                  <c:v>L1 assoc=1
L2 assoc=2</c:v>
                </c:pt>
                <c:pt idx="13">
                  <c:v>L1 assoc=2
L2 assoc=4</c:v>
                </c:pt>
                <c:pt idx="14">
                  <c:v>L1 assoc=4
L2 assoc=8</c:v>
                </c:pt>
                <c:pt idx="15">
                  <c:v>L1 assoc=8
L2 assoc=16</c:v>
                </c:pt>
                <c:pt idx="17">
                  <c:v>CACHE LINE SIZE</c:v>
                </c:pt>
                <c:pt idx="18">
                  <c:v>cache line=32</c:v>
                </c:pt>
                <c:pt idx="19">
                  <c:v>cache line = 64</c:v>
                </c:pt>
                <c:pt idx="20">
                  <c:v>cache line = 128</c:v>
                </c:pt>
              </c:strCache>
            </c:strRef>
          </c:cat>
          <c:val>
            <c:numRef>
              <c:f>Sheet1!$V$2:$V$23</c:f>
              <c:numCache>
                <c:formatCode>General</c:formatCode>
                <c:ptCount val="22"/>
                <c:pt idx="1">
                  <c:v>3.5911963679592998E-2</c:v>
                </c:pt>
                <c:pt idx="2">
                  <c:v>5.9902038425363117E-2</c:v>
                </c:pt>
                <c:pt idx="3">
                  <c:v>6.9758683053761636E-2</c:v>
                </c:pt>
                <c:pt idx="6">
                  <c:v>3.5911963679592998E-2</c:v>
                </c:pt>
                <c:pt idx="7">
                  <c:v>3.5833922131213232E-2</c:v>
                </c:pt>
                <c:pt idx="8">
                  <c:v>3.5935324947134348E-2</c:v>
                </c:pt>
                <c:pt idx="9">
                  <c:v>3.607509487295537E-2</c:v>
                </c:pt>
                <c:pt idx="12">
                  <c:v>3.5911963679592998E-2</c:v>
                </c:pt>
                <c:pt idx="13">
                  <c:v>3.5496842277110828E-2</c:v>
                </c:pt>
                <c:pt idx="14">
                  <c:v>3.1605042045027086E-2</c:v>
                </c:pt>
                <c:pt idx="15">
                  <c:v>3.5334687617246147E-2</c:v>
                </c:pt>
                <c:pt idx="18">
                  <c:v>6.5141642301782765E-2</c:v>
                </c:pt>
                <c:pt idx="19">
                  <c:v>3.5911963679592998E-2</c:v>
                </c:pt>
                <c:pt idx="20">
                  <c:v>2.0219586008219471E-2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0-43E9-9AFA-12F925F5646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11257376"/>
        <c:axId val="811256128"/>
      </c:barChart>
      <c:catAx>
        <c:axId val="81125737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6128"/>
        <c:crosses val="autoZero"/>
        <c:auto val="1"/>
        <c:lblAlgn val="ctr"/>
        <c:lblOffset val="100"/>
        <c:noMultiLvlLbl val="0"/>
      </c:catAx>
      <c:valAx>
        <c:axId val="811256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25737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24</xdr:row>
      <xdr:rowOff>147636</xdr:rowOff>
    </xdr:from>
    <xdr:to>
      <xdr:col>4</xdr:col>
      <xdr:colOff>90487</xdr:colOff>
      <xdr:row>50</xdr:row>
      <xdr:rowOff>57149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1EC5D4D-4597-4805-9661-1D6AA7B8E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423862</xdr:colOff>
      <xdr:row>24</xdr:row>
      <xdr:rowOff>119061</xdr:rowOff>
    </xdr:from>
    <xdr:to>
      <xdr:col>10</xdr:col>
      <xdr:colOff>252412</xdr:colOff>
      <xdr:row>50</xdr:row>
      <xdr:rowOff>38100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AB594D-3452-4BD5-9EC0-E1EAEE42CD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390525</xdr:colOff>
      <xdr:row>24</xdr:row>
      <xdr:rowOff>80961</xdr:rowOff>
    </xdr:from>
    <xdr:to>
      <xdr:col>16</xdr:col>
      <xdr:colOff>219075</xdr:colOff>
      <xdr:row>49</xdr:row>
      <xdr:rowOff>180974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9E109C1-78F3-4BF2-8395-2EA5FC87F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504825</xdr:colOff>
      <xdr:row>24</xdr:row>
      <xdr:rowOff>90486</xdr:rowOff>
    </xdr:from>
    <xdr:to>
      <xdr:col>22</xdr:col>
      <xdr:colOff>323850</xdr:colOff>
      <xdr:row>49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AE55AB-1187-4E33-A88B-D96C2561FC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74AA-90F7-41B9-9B66-8CFD1B13E6CA}">
  <dimension ref="A1:W22"/>
  <sheetViews>
    <sheetView tabSelected="1" topLeftCell="K19" workbookViewId="0">
      <selection activeCell="X24" sqref="X24"/>
    </sheetView>
  </sheetViews>
  <sheetFormatPr defaultRowHeight="15" x14ac:dyDescent="0.25"/>
  <cols>
    <col min="1" max="1" width="24.42578125" customWidth="1"/>
    <col min="2" max="2" width="16.42578125" customWidth="1"/>
    <col min="3" max="3" width="17.28515625" customWidth="1"/>
    <col min="4" max="4" width="14.5703125" customWidth="1"/>
    <col min="7" max="7" width="20.85546875" customWidth="1"/>
    <col min="8" max="8" width="11.7109375" customWidth="1"/>
    <col min="9" max="9" width="14" customWidth="1"/>
    <col min="10" max="10" width="15.42578125" customWidth="1"/>
    <col min="13" max="13" width="21.7109375" customWidth="1"/>
    <col min="14" max="14" width="12.5703125" customWidth="1"/>
    <col min="15" max="16" width="13.85546875" customWidth="1"/>
    <col min="19" max="19" width="20.85546875" customWidth="1"/>
    <col min="20" max="20" width="12" customWidth="1"/>
    <col min="21" max="21" width="15.85546875" customWidth="1"/>
    <col min="22" max="22" width="13.42578125" customWidth="1"/>
  </cols>
  <sheetData>
    <row r="1" spans="1:23" s="6" customFormat="1" x14ac:dyDescent="0.25">
      <c r="B1" s="6" t="s">
        <v>19</v>
      </c>
      <c r="C1" s="6" t="s">
        <v>15</v>
      </c>
      <c r="D1" s="6" t="s">
        <v>0</v>
      </c>
      <c r="H1" s="6" t="s">
        <v>19</v>
      </c>
      <c r="I1" s="6" t="s">
        <v>15</v>
      </c>
      <c r="J1" s="6" t="s">
        <v>0</v>
      </c>
      <c r="N1" s="6" t="s">
        <v>19</v>
      </c>
      <c r="O1" s="6" t="s">
        <v>15</v>
      </c>
      <c r="P1" s="6" t="s">
        <v>0</v>
      </c>
      <c r="T1" s="6" t="s">
        <v>19</v>
      </c>
      <c r="U1" s="6" t="s">
        <v>15</v>
      </c>
      <c r="V1" s="6" t="s">
        <v>0</v>
      </c>
    </row>
    <row r="2" spans="1:23" x14ac:dyDescent="0.25">
      <c r="A2" t="s">
        <v>21</v>
      </c>
      <c r="E2" t="s">
        <v>16</v>
      </c>
      <c r="G2" s="6" t="s">
        <v>21</v>
      </c>
      <c r="K2" t="s">
        <v>17</v>
      </c>
      <c r="M2" s="6" t="s">
        <v>21</v>
      </c>
      <c r="N2" s="6"/>
      <c r="O2" s="6"/>
      <c r="P2" s="6"/>
      <c r="Q2" s="6" t="s">
        <v>20</v>
      </c>
      <c r="R2" s="6"/>
      <c r="S2" s="6" t="s">
        <v>21</v>
      </c>
      <c r="T2" s="6"/>
      <c r="U2" s="6"/>
      <c r="V2" s="6"/>
      <c r="W2" s="6" t="s">
        <v>18</v>
      </c>
    </row>
    <row r="3" spans="1:23" ht="30" x14ac:dyDescent="0.25">
      <c r="A3" s="1" t="s">
        <v>1</v>
      </c>
      <c r="B3" s="12">
        <f>SUM(1.09545,0.0072454, 0.0014314, 0.000194084, 0.0685173, 0.0111343)</f>
        <v>1.1839724840000001</v>
      </c>
      <c r="C3" s="12">
        <f>B3*0.090996</f>
        <v>0.107736760154064</v>
      </c>
      <c r="D3" s="12">
        <f>C3*0.090996</f>
        <v>9.8036142269792067E-3</v>
      </c>
      <c r="G3" s="1" t="s">
        <v>1</v>
      </c>
      <c r="H3" s="12">
        <f>SUM(1.09545, 0.0072454, 0.0014314, 0.000194084,0.110902, 0.00138216)</f>
        <v>1.216605044</v>
      </c>
      <c r="I3" s="12">
        <f>H3*0.057835</f>
        <v>7.0362352719739993E-2</v>
      </c>
      <c r="J3" s="12">
        <f xml:space="preserve"> I3*0.057835</f>
        <v>4.0694066695461627E-3</v>
      </c>
      <c r="M3" s="7" t="s">
        <v>1</v>
      </c>
      <c r="N3" s="13">
        <f>SUM(1.09545, 0.0072454, 0.0264935, 0.0014314, 0.000194084, 0.00962931)</f>
        <v>1.140443694</v>
      </c>
      <c r="O3" s="13">
        <f>N3*0.514066</f>
        <v>0.58626332799980407</v>
      </c>
      <c r="P3" s="13">
        <f>O3*0.514066</f>
        <v>0.30137804397154727</v>
      </c>
      <c r="Q3" s="6"/>
      <c r="R3" s="6"/>
      <c r="S3" s="7" t="s">
        <v>1</v>
      </c>
      <c r="T3" s="12">
        <v>1.1534944740000002</v>
      </c>
      <c r="U3" s="12">
        <f>T3*0.176446</f>
        <v>0.20352948595940401</v>
      </c>
      <c r="V3" s="12">
        <f>U3*0.176446</f>
        <v>3.5911963679592998E-2</v>
      </c>
      <c r="W3" s="6"/>
    </row>
    <row r="4" spans="1:23" ht="31.5" customHeight="1" x14ac:dyDescent="0.25">
      <c r="A4" s="1" t="s">
        <v>2</v>
      </c>
      <c r="B4">
        <f>SUM(1.77429, 0.0132956, 0.0014314, 0.000194084, 0.273998, 0.00866606)</f>
        <v>2.0718751439999998</v>
      </c>
      <c r="C4">
        <f>B4*0.090661</f>
        <v>0.187838272430184</v>
      </c>
      <c r="D4">
        <f>C4*0.090661</f>
        <v>1.7029605616792912E-2</v>
      </c>
      <c r="G4" s="1" t="s">
        <v>2</v>
      </c>
      <c r="H4">
        <f>SUM(1.77429, 0.0132956, 0.0014314, 0.000194084,0.326521, 0.00110506)</f>
        <v>2.1168371439999998</v>
      </c>
      <c r="I4">
        <f>H4*0.056649</f>
        <v>0.11991670737045598</v>
      </c>
      <c r="J4">
        <f>I4*0.056649</f>
        <v>6.7931615558289608E-3</v>
      </c>
      <c r="M4" s="7" t="s">
        <v>2</v>
      </c>
      <c r="N4" s="12">
        <v>1.8918063840000001</v>
      </c>
      <c r="O4" s="12">
        <v>0.97249442253350393</v>
      </c>
      <c r="P4" s="12">
        <v>0.2569851240643205</v>
      </c>
      <c r="Q4" s="6"/>
      <c r="R4" s="6"/>
      <c r="S4" s="7" t="s">
        <v>2</v>
      </c>
      <c r="T4" s="13">
        <v>1.940783894</v>
      </c>
      <c r="U4" s="13">
        <v>0.34096467763349603</v>
      </c>
      <c r="V4" s="13">
        <v>5.9902038425363117E-2</v>
      </c>
      <c r="W4" s="6"/>
    </row>
    <row r="5" spans="1:23" ht="30.75" customHeight="1" x14ac:dyDescent="0.25">
      <c r="A5" s="1" t="s">
        <v>3</v>
      </c>
      <c r="B5">
        <f>SUM(2.05379, 0.0157044, 0.0014314, 0.000194084,0.3658, 0.00633084)</f>
        <v>2.4432507239999999</v>
      </c>
      <c r="C5">
        <f>B5*0.087268</f>
        <v>0.21321760418203198</v>
      </c>
      <c r="D5">
        <f xml:space="preserve"> C5*  0.087268</f>
        <v>1.8607073881757568E-2</v>
      </c>
      <c r="G5" s="1" t="s">
        <v>3</v>
      </c>
      <c r="H5">
        <f>SUM(2.05379, 0.0157044, 0.0014314, 0.000194084, 0.418691, 0.000932273)</f>
        <v>2.4907431569999998</v>
      </c>
      <c r="I5">
        <f>H5*0.057692</f>
        <v>0.14369595421364398</v>
      </c>
      <c r="J5">
        <f>I5*0.057692</f>
        <v>8.2901069904935485E-3</v>
      </c>
      <c r="M5" s="7" t="s">
        <v>3</v>
      </c>
      <c r="N5" s="6">
        <v>2.2041012839999996</v>
      </c>
      <c r="O5" s="6">
        <v>1.1329499379003958</v>
      </c>
      <c r="P5" s="6">
        <v>0.29934297098071494</v>
      </c>
      <c r="Q5" s="6"/>
      <c r="R5" s="6"/>
      <c r="S5" s="7" t="s">
        <v>3</v>
      </c>
      <c r="T5" s="6">
        <v>2.2659841839999997</v>
      </c>
      <c r="U5" s="6">
        <v>0.39758278697208793</v>
      </c>
      <c r="V5" s="6">
        <v>6.9758683053761636E-2</v>
      </c>
      <c r="W5" s="6"/>
    </row>
    <row r="7" spans="1:23" x14ac:dyDescent="0.25">
      <c r="A7" t="s">
        <v>22</v>
      </c>
      <c r="G7" s="6" t="s">
        <v>22</v>
      </c>
      <c r="M7" s="6" t="s">
        <v>22</v>
      </c>
      <c r="N7" s="6"/>
      <c r="O7" s="6"/>
      <c r="P7" s="6"/>
      <c r="Q7" s="6"/>
      <c r="R7" s="6"/>
      <c r="S7" s="6" t="s">
        <v>22</v>
      </c>
      <c r="T7" s="6"/>
      <c r="U7" s="6"/>
      <c r="V7" s="6"/>
      <c r="W7" s="6"/>
    </row>
    <row r="8" spans="1:23" x14ac:dyDescent="0.25">
      <c r="A8" s="2" t="s">
        <v>4</v>
      </c>
      <c r="B8">
        <f>SUM(1.09545,0.0072454, 0.0014314, 0.000194084, 0.0685173, 0.0111343)</f>
        <v>1.1839724840000001</v>
      </c>
      <c r="C8">
        <f>B8*0.090996</f>
        <v>0.107736760154064</v>
      </c>
      <c r="D8">
        <f>C8*0.090996</f>
        <v>9.8036142269792067E-3</v>
      </c>
      <c r="G8" s="2" t="s">
        <v>4</v>
      </c>
      <c r="H8">
        <f>SUM(1.09545, 0.0072454, 0.0014314, 0.000194084,0.110902, 0.00138216)</f>
        <v>1.216605044</v>
      </c>
      <c r="I8">
        <f>H8*0.057835</f>
        <v>7.0362352719739993E-2</v>
      </c>
      <c r="J8">
        <f xml:space="preserve"> I8*0.057835</f>
        <v>4.0694066695461627E-3</v>
      </c>
      <c r="M8" s="8" t="s">
        <v>4</v>
      </c>
      <c r="N8" s="12">
        <f>SUM(1.09545, 0.0072454, 0.0264935, 0.0014314, 0.000194084, 0.00962931)</f>
        <v>1.140443694</v>
      </c>
      <c r="O8" s="12">
        <f>N8*0.514066</f>
        <v>0.58626332799980407</v>
      </c>
      <c r="P8" s="12">
        <f>O8*0.514066</f>
        <v>0.30137804397154727</v>
      </c>
      <c r="Q8" s="6"/>
      <c r="R8" s="6"/>
      <c r="S8" s="8" t="s">
        <v>4</v>
      </c>
      <c r="T8" s="6">
        <v>1.1534944740000002</v>
      </c>
      <c r="U8" s="6">
        <f>T8*0.176446</f>
        <v>0.20352948595940401</v>
      </c>
      <c r="V8" s="6">
        <f>U8*0.176446</f>
        <v>3.5911963679592998E-2</v>
      </c>
      <c r="W8" s="6"/>
    </row>
    <row r="9" spans="1:23" ht="14.25" customHeight="1" x14ac:dyDescent="0.25">
      <c r="A9" s="2" t="s">
        <v>5</v>
      </c>
      <c r="B9">
        <f>SUM(1.09545, 0.0072454, 0.00275684, 0.000392655, 0.070249, 0.0148257)</f>
        <v>1.190919595</v>
      </c>
      <c r="C9">
        <f>B9*0.088751</f>
        <v>0.10569530497584499</v>
      </c>
      <c r="D9">
        <f xml:space="preserve"> C9* 0.088751</f>
        <v>9.3805640119112178E-3</v>
      </c>
      <c r="G9" s="2" t="s">
        <v>5</v>
      </c>
      <c r="H9">
        <f>SUM(1.09545, 0.0072454, 0.00275684, 0.000392655,0.111216,0.00176799)</f>
        <v>1.218828885</v>
      </c>
      <c r="I9">
        <f xml:space="preserve"> H9*0.057672</f>
        <v>7.0292299455720006E-2</v>
      </c>
      <c r="J9">
        <f>I9*0.057672</f>
        <v>4.0538974942102846E-3</v>
      </c>
      <c r="M9" s="8" t="s">
        <v>5</v>
      </c>
      <c r="N9" s="6">
        <v>1.1438499949999998</v>
      </c>
      <c r="O9" s="6">
        <f>N9*0.514014</f>
        <v>0.58795491132992983</v>
      </c>
      <c r="P9" s="6">
        <f xml:space="preserve"> O9*0.513772</f>
        <v>0.30207477070380073</v>
      </c>
      <c r="Q9" s="6"/>
      <c r="R9" s="6"/>
      <c r="S9" s="8" t="s">
        <v>5</v>
      </c>
      <c r="T9" s="12">
        <v>1.156657705</v>
      </c>
      <c r="U9" s="12">
        <v>0.20358679263016499</v>
      </c>
      <c r="V9" s="12">
        <v>3.5833922131213232E-2</v>
      </c>
      <c r="W9" s="6"/>
    </row>
    <row r="10" spans="1:23" ht="17.25" customHeight="1" x14ac:dyDescent="0.25">
      <c r="A10" s="2" t="s">
        <v>6</v>
      </c>
      <c r="B10">
        <f>SUM(1.09545, 0.0072454, 0.0491095, 0.000268126, 0.0000376114, 0.00443758)</f>
        <v>1.1565482173999999</v>
      </c>
      <c r="C10">
        <f>B10*0.126927</f>
        <v>0.14679719558992979</v>
      </c>
      <c r="D10">
        <f xml:space="preserve"> C10*0.126927</f>
        <v>1.8632527644643019E-2</v>
      </c>
      <c r="G10" s="2" t="s">
        <v>6</v>
      </c>
      <c r="H10" s="12">
        <f>SUM(1.09545, 0.0072454, 0.00465773, 0.000566123,0.111578, 0.00239033)</f>
        <v>1.221887583</v>
      </c>
      <c r="I10" s="12">
        <f xml:space="preserve"> H10*0.057485</f>
        <v>7.0240207708754998E-2</v>
      </c>
      <c r="J10" s="12">
        <f xml:space="preserve"> I10*0.057485</f>
        <v>4.0377583401377815E-3</v>
      </c>
      <c r="M10" s="8" t="s">
        <v>6</v>
      </c>
      <c r="N10" s="6">
        <v>1.1488812530000001</v>
      </c>
      <c r="O10" s="6">
        <v>0.59026301911631607</v>
      </c>
      <c r="P10" s="6">
        <f xml:space="preserve"> O10*0.513772</f>
        <v>0.30326061185742792</v>
      </c>
      <c r="Q10" s="6"/>
      <c r="R10" s="6"/>
      <c r="S10" s="8" t="s">
        <v>6</v>
      </c>
      <c r="T10" s="6">
        <v>1.161289553</v>
      </c>
      <c r="U10" s="6">
        <v>0.20428244526823003</v>
      </c>
      <c r="V10" s="6">
        <v>3.5935324947134348E-2</v>
      </c>
      <c r="W10" s="6"/>
    </row>
    <row r="11" spans="1:23" ht="15.75" customHeight="1" x14ac:dyDescent="0.25">
      <c r="A11" s="2" t="s">
        <v>7</v>
      </c>
      <c r="B11" s="12">
        <f>SUM(1.09545, 0.0072454, 0.00887322, 0.00107583, 0.0732343,0.0278901)</f>
        <v>1.2137688499999999</v>
      </c>
      <c r="C11" s="12">
        <f>B11*0.085133</f>
        <v>0.10333178350705</v>
      </c>
      <c r="D11" s="12">
        <f>C11*0.085133</f>
        <v>8.796944725305688E-3</v>
      </c>
      <c r="G11" s="2" t="s">
        <v>7</v>
      </c>
      <c r="H11">
        <f xml:space="preserve"> SUM(1.09545, 0.0072454, 0.00887322, 0.00107583,0.111613, 0.00303525)</f>
        <v>1.2272926999999998</v>
      </c>
      <c r="I11">
        <f>H11*0.057467</f>
        <v>7.0528829590899983E-2</v>
      </c>
      <c r="J11">
        <f>I11*0.057467</f>
        <v>4.0530802501002492E-3</v>
      </c>
      <c r="M11" s="8" t="s">
        <v>7</v>
      </c>
      <c r="N11" s="6">
        <v>1.1566625500000001</v>
      </c>
      <c r="O11" s="6">
        <v>0.59397166600110007</v>
      </c>
      <c r="P11" s="6">
        <f xml:space="preserve"> O11*0.513522</f>
        <v>0.30501751786821696</v>
      </c>
      <c r="Q11" s="6"/>
      <c r="R11" s="6"/>
      <c r="S11" s="8" t="s">
        <v>7</v>
      </c>
      <c r="T11" s="6">
        <v>1.1687012499999998</v>
      </c>
      <c r="U11" s="6">
        <v>0.20533146001499994</v>
      </c>
      <c r="V11" s="6">
        <v>3.607509487295537E-2</v>
      </c>
      <c r="W11" s="6"/>
    </row>
    <row r="13" spans="1:23" x14ac:dyDescent="0.25">
      <c r="A13" t="s">
        <v>23</v>
      </c>
      <c r="G13" s="6" t="s">
        <v>23</v>
      </c>
      <c r="M13" s="6" t="s">
        <v>23</v>
      </c>
      <c r="N13" s="6"/>
      <c r="O13" s="6"/>
      <c r="P13" s="6"/>
      <c r="Q13" s="6"/>
      <c r="R13" s="6"/>
      <c r="S13" s="6" t="s">
        <v>23</v>
      </c>
      <c r="T13" s="6"/>
      <c r="U13" s="6"/>
      <c r="V13" s="6"/>
      <c r="W13" s="6"/>
    </row>
    <row r="14" spans="1:23" ht="30" customHeight="1" x14ac:dyDescent="0.25">
      <c r="A14" s="3" t="s">
        <v>8</v>
      </c>
      <c r="B14">
        <f>SUM(1.09545,0.0072454, 0.0014314, 0.000194084, 0.0685173, 0.0111343)</f>
        <v>1.1839724840000001</v>
      </c>
      <c r="C14">
        <f>B14*0.090996</f>
        <v>0.107736760154064</v>
      </c>
      <c r="D14">
        <f>C14*0.090996</f>
        <v>9.8036142269792067E-3</v>
      </c>
      <c r="G14" s="3" t="s">
        <v>8</v>
      </c>
      <c r="H14">
        <f>SUM(1.09545, 0.0072454, 0.0014314, 0.000194084,0.110902, 0.00138216)</f>
        <v>1.216605044</v>
      </c>
      <c r="I14">
        <f>H14*0.057835</f>
        <v>7.0362352719739993E-2</v>
      </c>
      <c r="J14">
        <f xml:space="preserve"> I14*0.057835</f>
        <v>4.0694066695461627E-3</v>
      </c>
      <c r="M14" s="9" t="s">
        <v>8</v>
      </c>
      <c r="N14" s="13">
        <f>SUM(1.09545, 0.0072454, 0.0264935, 0.0014314, 0.000194084, 0.00962931)</f>
        <v>1.140443694</v>
      </c>
      <c r="O14" s="13">
        <f>N14*0.514066</f>
        <v>0.58626332799980407</v>
      </c>
      <c r="P14" s="13">
        <f>O14*0.514066</f>
        <v>0.30137804397154727</v>
      </c>
      <c r="Q14" s="6"/>
      <c r="R14" s="6"/>
      <c r="S14" s="9" t="s">
        <v>8</v>
      </c>
      <c r="T14" s="6">
        <v>1.1534944740000002</v>
      </c>
      <c r="U14" s="6">
        <f>T14*0.176446</f>
        <v>0.20352948595940401</v>
      </c>
      <c r="V14" s="6">
        <f>U14*0.176446</f>
        <v>3.5911963679592998E-2</v>
      </c>
      <c r="W14" s="6"/>
    </row>
    <row r="15" spans="1:23" ht="29.25" customHeight="1" x14ac:dyDescent="0.25">
      <c r="A15" s="3" t="s">
        <v>9</v>
      </c>
      <c r="B15">
        <f>SUM(1.098, 0.00726281, 0.00143628, 0.000194587, 0.0778425,0.00996791)</f>
        <v>1.1947040870000003</v>
      </c>
      <c r="C15">
        <f>B15*0.08964</f>
        <v>0.10709327435868002</v>
      </c>
      <c r="D15">
        <f>C15*0.08964</f>
        <v>9.5998411135120761E-3</v>
      </c>
      <c r="G15" s="3" t="s">
        <v>9</v>
      </c>
      <c r="H15">
        <f>SUM(1.098, 0.00726281, 0.00143628, 0.000194587, 0.119004,0.000968501)</f>
        <v>1.2268661780000003</v>
      </c>
      <c r="I15">
        <f>H15*0.057667</f>
        <v>7.0749691886726015E-2</v>
      </c>
      <c r="J15">
        <f>I15*0.057667</f>
        <v>4.0799224820318291E-3</v>
      </c>
      <c r="M15" s="9" t="s">
        <v>9</v>
      </c>
      <c r="N15" s="6">
        <v>1.1443889770000002</v>
      </c>
      <c r="O15" s="6">
        <v>0.58823882195754018</v>
      </c>
      <c r="P15" s="6">
        <f>O15*0.51402</f>
        <v>0.30236651926261482</v>
      </c>
      <c r="Q15" s="6"/>
      <c r="R15" s="6"/>
      <c r="S15" s="9" t="s">
        <v>9</v>
      </c>
      <c r="T15" s="6">
        <v>1.1601542870000001</v>
      </c>
      <c r="U15" s="6">
        <v>0.20293302772775301</v>
      </c>
      <c r="V15" s="6">
        <v>3.5496842277110828E-2</v>
      </c>
      <c r="W15" s="6"/>
    </row>
    <row r="16" spans="1:23" ht="30.75" customHeight="1" x14ac:dyDescent="0.25">
      <c r="A16" s="3" t="s">
        <v>10</v>
      </c>
      <c r="B16" s="12">
        <f>SUM(0.904051, 0.00536875, 0.00148306, 0.000201415,0.206434, 0.00932044)</f>
        <v>1.1268586650000001</v>
      </c>
      <c r="C16" s="12">
        <f>B16*0.088834</f>
        <v>0.10010336264661</v>
      </c>
      <c r="D16" s="12">
        <f xml:space="preserve"> C16*0.088834</f>
        <v>8.892582117348953E-3</v>
      </c>
      <c r="G16" s="3" t="s">
        <v>10</v>
      </c>
      <c r="H16" s="12">
        <f>SUM(0.904051, 0.00536875, 0.272086, 0.00148306, 0.000201415, 0.000936328)</f>
        <v>1.1841265530000002</v>
      </c>
      <c r="I16" s="12">
        <f>H16*0.057643</f>
        <v>6.8256606894579019E-2</v>
      </c>
      <c r="J16" s="12">
        <f>I16*0.057643</f>
        <v>3.9345155912242184E-3</v>
      </c>
      <c r="M16" s="9" t="s">
        <v>10</v>
      </c>
      <c r="N16" s="12">
        <v>1.0132234050000002</v>
      </c>
      <c r="O16" s="12">
        <v>0.52079683017000011</v>
      </c>
      <c r="P16" s="12">
        <f xml:space="preserve"> O16*0.514</f>
        <v>0.26768957070738009</v>
      </c>
      <c r="Q16" s="6"/>
      <c r="R16" s="6"/>
      <c r="S16" s="9" t="s">
        <v>10</v>
      </c>
      <c r="T16" s="12">
        <v>1.0329573750000001</v>
      </c>
      <c r="U16" s="12">
        <v>0.18068387107762501</v>
      </c>
      <c r="V16" s="12">
        <v>3.1605042045027086E-2</v>
      </c>
      <c r="W16" s="6"/>
    </row>
    <row r="17" spans="1:23" ht="27.75" customHeight="1" x14ac:dyDescent="0.25">
      <c r="A17" s="3" t="s">
        <v>11</v>
      </c>
      <c r="B17">
        <f>SUM(0.968425, 0.00586026, 0.00151443, 0.000205384, 0.310806, 0.00896902)</f>
        <v>1.2957800940000002</v>
      </c>
      <c r="C17">
        <f>B17*0.088418</f>
        <v>0.114570284351292</v>
      </c>
      <c r="D17">
        <f>C17*0.088418</f>
        <v>1.0130075401772536E-2</v>
      </c>
      <c r="G17" s="3" t="s">
        <v>11</v>
      </c>
      <c r="H17">
        <f>SUM(1.01243, 0.00628253,  0.403308, 0.968425, 0.00586026, 0.380997)</f>
        <v>2.7773027899999998</v>
      </c>
      <c r="I17">
        <f>H17*0.057638</f>
        <v>0.16007817821001999</v>
      </c>
      <c r="J17">
        <f>I17*0.057638</f>
        <v>9.2265860356691327E-3</v>
      </c>
      <c r="M17" s="9" t="s">
        <v>11</v>
      </c>
      <c r="N17" s="6">
        <v>1.1091708839999999</v>
      </c>
      <c r="O17" s="6">
        <v>0.57008277759124792</v>
      </c>
      <c r="P17" s="6">
        <f>O17*0.513972</f>
        <v>0.29300658536412888</v>
      </c>
      <c r="Q17" s="6"/>
      <c r="R17" s="6"/>
      <c r="S17" s="9" t="s">
        <v>11</v>
      </c>
      <c r="T17" s="6">
        <v>1.149682624</v>
      </c>
      <c r="U17" s="6">
        <v>0.20155316017868799</v>
      </c>
      <c r="V17" s="6">
        <v>3.5334687617246147E-2</v>
      </c>
      <c r="W17" s="6"/>
    </row>
    <row r="18" spans="1:23" x14ac:dyDescent="0.25">
      <c r="A18" s="4"/>
      <c r="G18" s="4"/>
      <c r="M18" s="10"/>
      <c r="N18" s="6"/>
      <c r="O18" s="6"/>
      <c r="P18" s="6"/>
      <c r="Q18" s="6"/>
      <c r="R18" s="6"/>
      <c r="S18" s="10"/>
      <c r="T18" s="6"/>
      <c r="U18" s="6"/>
      <c r="V18" s="6"/>
    </row>
    <row r="19" spans="1:23" x14ac:dyDescent="0.25">
      <c r="A19" t="s">
        <v>24</v>
      </c>
      <c r="G19" s="6" t="s">
        <v>24</v>
      </c>
      <c r="M19" s="6" t="s">
        <v>24</v>
      </c>
      <c r="N19" s="6"/>
      <c r="O19" s="6"/>
      <c r="P19" s="6"/>
      <c r="Q19" s="6"/>
      <c r="R19" s="6"/>
      <c r="S19" s="6" t="s">
        <v>24</v>
      </c>
      <c r="T19" s="6"/>
      <c r="U19" s="6"/>
      <c r="V19" s="6"/>
    </row>
    <row r="20" spans="1:23" x14ac:dyDescent="0.25">
      <c r="A20" s="5" t="s">
        <v>12</v>
      </c>
      <c r="B20" s="12">
        <f>SUM(0.791287, 0.00470731, 0.00135763, 0.000183814, 0.0557932,  0.00476241)</f>
        <v>0.85809136399999997</v>
      </c>
      <c r="C20" s="12">
        <f>B20*0.100432</f>
        <v>8.6179831869247991E-2</v>
      </c>
      <c r="D20" s="12">
        <f>C20*0.100432</f>
        <v>8.6552128742923146E-3</v>
      </c>
      <c r="G20" s="5" t="s">
        <v>12</v>
      </c>
      <c r="H20" s="12">
        <f>SUM(0.791287, 0.00470731, 0.101533,  0.00135763, 0.000183814, 0.000865251)</f>
        <v>0.89993400499999998</v>
      </c>
      <c r="I20" s="12">
        <f>H20*0.058853</f>
        <v>5.2963815996264998E-2</v>
      </c>
      <c r="J20" s="12">
        <f>I20*0.058853</f>
        <v>3.1170794628281842E-3</v>
      </c>
      <c r="M20" s="11" t="s">
        <v>12</v>
      </c>
      <c r="N20" s="6">
        <v>0.81494240399999995</v>
      </c>
      <c r="O20" s="6">
        <v>0.71917933704836401</v>
      </c>
      <c r="P20" s="6">
        <f xml:space="preserve"> O20*0.882491</f>
        <v>0.63466929233114777</v>
      </c>
      <c r="Q20" s="6"/>
      <c r="R20" s="6"/>
      <c r="S20" s="11" t="s">
        <v>12</v>
      </c>
      <c r="T20" s="6">
        <v>0.82461522399999998</v>
      </c>
      <c r="U20" s="6">
        <f>T20*0.281063</f>
        <v>0.231768828703112</v>
      </c>
      <c r="V20" s="6">
        <f>U20*0.281063</f>
        <v>6.5141642301782765E-2</v>
      </c>
    </row>
    <row r="21" spans="1:23" x14ac:dyDescent="0.25">
      <c r="A21" s="5" t="s">
        <v>13</v>
      </c>
      <c r="B21">
        <f>SUM(1.09545,0.0072454, 0.0014314, 0.000194084, 0.0685173, 0.0111343)</f>
        <v>1.1839724840000001</v>
      </c>
      <c r="C21">
        <f>B21*0.090996</f>
        <v>0.107736760154064</v>
      </c>
      <c r="D21">
        <f>C21*0.090996</f>
        <v>9.8036142269792067E-3</v>
      </c>
      <c r="G21" s="5" t="s">
        <v>13</v>
      </c>
      <c r="H21">
        <f>SUM(1.09545, 0.0072454, 0.0014314, 0.000194084,0.110902, 0.00138216)</f>
        <v>1.216605044</v>
      </c>
      <c r="I21">
        <f>H21*0.057835</f>
        <v>7.0362352719739993E-2</v>
      </c>
      <c r="J21">
        <f xml:space="preserve"> I21*0.057835</f>
        <v>4.0694066695461627E-3</v>
      </c>
      <c r="M21" s="11" t="s">
        <v>13</v>
      </c>
      <c r="N21" s="13">
        <f>SUM(1.09545, 0.0072454, 0.0264935, 0.0014314, 0.000194084, 0.00962931)</f>
        <v>1.140443694</v>
      </c>
      <c r="O21" s="13">
        <f>N21*0.514066</f>
        <v>0.58626332799980407</v>
      </c>
      <c r="P21" s="13">
        <f>O21*0.514066</f>
        <v>0.30137804397154727</v>
      </c>
      <c r="Q21" s="6"/>
      <c r="R21" s="6"/>
      <c r="S21" s="11" t="s">
        <v>13</v>
      </c>
      <c r="T21" s="6">
        <v>1.1534944740000002</v>
      </c>
      <c r="U21" s="6">
        <f>T21*0.176446</f>
        <v>0.20352948595940401</v>
      </c>
      <c r="V21" s="6">
        <f>U21*0.176446</f>
        <v>3.5911963679592998E-2</v>
      </c>
    </row>
    <row r="22" spans="1:23" x14ac:dyDescent="0.25">
      <c r="A22" s="5" t="s">
        <v>14</v>
      </c>
      <c r="B22">
        <f>SUM(1.04714, 0.0060447, 0.00817938, 0.00187398, 0.100428,0.0723809)</f>
        <v>1.2360469599999999</v>
      </c>
      <c r="C22">
        <f xml:space="preserve"> B22* 0.090661</f>
        <v>0.11206125344056</v>
      </c>
      <c r="D22">
        <f xml:space="preserve"> C22*0.090661</f>
        <v>1.015958529817461E-2</v>
      </c>
      <c r="G22" s="5" t="s">
        <v>14</v>
      </c>
      <c r="H22">
        <f>SUM(1.04714, 0.0060447, 0.14291, 0.00817938, 0.00187398, 0.00818802)</f>
        <v>1.21433608</v>
      </c>
      <c r="I22">
        <f>H22*0.056649</f>
        <v>6.8790924595919997E-2</v>
      </c>
      <c r="J22">
        <f>I22*0.056649</f>
        <v>3.8969370874342717E-3</v>
      </c>
      <c r="M22" s="11" t="s">
        <v>14</v>
      </c>
      <c r="N22" s="12">
        <v>1.1620926600000001</v>
      </c>
      <c r="O22" s="12">
        <v>0.39573089978778003</v>
      </c>
      <c r="P22" s="12">
        <f xml:space="preserve"> O22*0.340533</f>
        <v>0.13475943049743208</v>
      </c>
      <c r="Q22" s="6"/>
      <c r="R22" s="6"/>
      <c r="S22" s="11" t="s">
        <v>14</v>
      </c>
      <c r="T22" s="12">
        <v>1.1748364600000001</v>
      </c>
      <c r="U22" s="12">
        <v>0.15412562035094002</v>
      </c>
      <c r="V22" s="12">
        <v>2.0219586008219471E-2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Χάιδω Πορλού</dc:creator>
  <cp:lastModifiedBy>Χάιδω Πορλού</cp:lastModifiedBy>
  <dcterms:created xsi:type="dcterms:W3CDTF">2020-12-19T17:10:44Z</dcterms:created>
  <dcterms:modified xsi:type="dcterms:W3CDTF">2020-12-20T18:00:53Z</dcterms:modified>
</cp:coreProperties>
</file>