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115037d0b0750be3/Desktop/SAPM Assignment-2/"/>
    </mc:Choice>
  </mc:AlternateContent>
  <xr:revisionPtr revIDLastSave="62" documentId="8_{885E45A5-0BC2-470F-91A5-9F8CB054A2C8}" xr6:coauthVersionLast="47" xr6:coauthVersionMax="47" xr10:uidLastSave="{E1A4F328-B44A-40E0-81C5-552E0CDDF496}"/>
  <bookViews>
    <workbookView xWindow="-104" yWindow="-104" windowWidth="22326" windowHeight="12050" xr2:uid="{00000000-000D-0000-FFFF-FFFF00000000}"/>
  </bookViews>
  <sheets>
    <sheet name="Group Members" sheetId="1" r:id="rId1"/>
    <sheet name="Industry ratios" sheetId="13" r:id="rId2"/>
    <sheet name="TATA ELXSI LIMITED" sheetId="8" r:id="rId3"/>
    <sheet name="TATA-Elxsi-1" sheetId="15" r:id="rId4"/>
    <sheet name="RAMCO SYSTEMS LIMITED" sheetId="9" r:id="rId5"/>
    <sheet name="RAMCO-1" sheetId="16" r:id="rId6"/>
    <sheet name="INFOBEANS TECHNOLOGIES LIMITED" sheetId="5" r:id="rId7"/>
    <sheet name="INFOBEANS-1" sheetId="12" r:id="rId8"/>
    <sheet name="LNT" sheetId="10" r:id="rId9"/>
    <sheet name="LNT-1" sheetId="17" r:id="rId10"/>
    <sheet name="TCS" sheetId="6" r:id="rId11"/>
    <sheet name="TCS-Using Bloom" sheetId="18" r:id="rId12"/>
    <sheet name="TCS-Valuation" sheetId="19" r:id="rId13"/>
    <sheet name="Graphs" sheetId="20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20" l="1"/>
  <c r="E8" i="20"/>
  <c r="E7" i="20"/>
  <c r="E6" i="20"/>
  <c r="E5" i="20"/>
  <c r="M37" i="20"/>
  <c r="M38" i="20"/>
  <c r="M39" i="20"/>
  <c r="M40" i="20"/>
  <c r="M41" i="20"/>
  <c r="M36" i="20"/>
  <c r="E37" i="20"/>
  <c r="E38" i="20"/>
  <c r="E39" i="20"/>
  <c r="E40" i="20"/>
  <c r="E41" i="20"/>
  <c r="E36" i="20"/>
  <c r="U5" i="20"/>
  <c r="U6" i="20"/>
  <c r="U7" i="20"/>
  <c r="U8" i="20"/>
  <c r="U9" i="20"/>
  <c r="U4" i="20"/>
  <c r="M5" i="20"/>
  <c r="M6" i="20"/>
  <c r="M7" i="20"/>
  <c r="M8" i="20"/>
  <c r="M9" i="20"/>
  <c r="M4" i="20"/>
  <c r="E9" i="20"/>
  <c r="O43" i="19"/>
  <c r="P40" i="19"/>
  <c r="G39" i="19"/>
  <c r="P32" i="19"/>
  <c r="P31" i="19"/>
  <c r="P29" i="19"/>
  <c r="F42" i="19"/>
  <c r="G31" i="19"/>
  <c r="G30" i="19"/>
  <c r="G28" i="19"/>
  <c r="E146" i="6"/>
  <c r="E155" i="6" s="1"/>
  <c r="F146" i="6"/>
  <c r="G146" i="6"/>
  <c r="G155" i="6" s="1"/>
  <c r="H146" i="6"/>
  <c r="H155" i="6" s="1"/>
  <c r="I146" i="6"/>
  <c r="I155" i="6" s="1"/>
  <c r="E148" i="6"/>
  <c r="E153" i="6" s="1"/>
  <c r="F148" i="6"/>
  <c r="F153" i="6" s="1"/>
  <c r="G148" i="6"/>
  <c r="G153" i="6" s="1"/>
  <c r="H148" i="6"/>
  <c r="I148" i="6"/>
  <c r="I154" i="6" s="1"/>
  <c r="E149" i="6"/>
  <c r="F149" i="6"/>
  <c r="G149" i="6"/>
  <c r="G156" i="6" s="1"/>
  <c r="H149" i="6"/>
  <c r="I149" i="6"/>
  <c r="I156" i="6" s="1"/>
  <c r="E150" i="6"/>
  <c r="F150" i="6"/>
  <c r="G150" i="6"/>
  <c r="H150" i="6"/>
  <c r="I150" i="6"/>
  <c r="H153" i="6"/>
  <c r="I153" i="6"/>
  <c r="H154" i="6"/>
  <c r="F155" i="6"/>
  <c r="E156" i="6"/>
  <c r="F156" i="6"/>
  <c r="H156" i="6"/>
  <c r="E82" i="19"/>
  <c r="E83" i="19" s="1"/>
  <c r="E84" i="19" s="1"/>
  <c r="E85" i="19" s="1"/>
  <c r="E72" i="19"/>
  <c r="E71" i="19"/>
  <c r="E62" i="19"/>
  <c r="E74" i="19" s="1"/>
  <c r="E61" i="19"/>
  <c r="B62" i="19"/>
  <c r="B74" i="19" s="1"/>
  <c r="E52" i="19"/>
  <c r="E53" i="19" s="1"/>
  <c r="E54" i="19" s="1"/>
  <c r="C38" i="6"/>
  <c r="AE43" i="6"/>
  <c r="D38" i="6"/>
  <c r="C35" i="6"/>
  <c r="C34" i="6"/>
  <c r="E100" i="17"/>
  <c r="E101" i="17" s="1"/>
  <c r="E102" i="17" s="1"/>
  <c r="F89" i="17"/>
  <c r="F92" i="17"/>
  <c r="F91" i="17"/>
  <c r="F93" i="17" s="1"/>
  <c r="F81" i="17"/>
  <c r="F83" i="17" s="1"/>
  <c r="F72" i="17"/>
  <c r="F73" i="17" s="1"/>
  <c r="F74" i="17" s="1"/>
  <c r="L55" i="17"/>
  <c r="L56" i="17" s="1"/>
  <c r="E102" i="12"/>
  <c r="E101" i="12"/>
  <c r="E95" i="12"/>
  <c r="E93" i="12"/>
  <c r="E91" i="12"/>
  <c r="E94" i="12"/>
  <c r="E84" i="12"/>
  <c r="B74" i="12"/>
  <c r="E74" i="12"/>
  <c r="E75" i="12" s="1"/>
  <c r="J48" i="12"/>
  <c r="J47" i="12"/>
  <c r="K44" i="12"/>
  <c r="B48" i="12"/>
  <c r="B47" i="12"/>
  <c r="C45" i="12"/>
  <c r="C44" i="12"/>
  <c r="F99" i="16"/>
  <c r="F98" i="16"/>
  <c r="F87" i="16"/>
  <c r="F89" i="16" s="1"/>
  <c r="F91" i="16" s="1"/>
  <c r="F80" i="16"/>
  <c r="F70" i="16"/>
  <c r="F71" i="16" s="1"/>
  <c r="F72" i="16" s="1"/>
  <c r="L57" i="16"/>
  <c r="L58" i="16" s="1"/>
  <c r="I56" i="16"/>
  <c r="B57" i="16"/>
  <c r="E95" i="15"/>
  <c r="E96" i="15" s="1"/>
  <c r="E97" i="15" s="1"/>
  <c r="E88" i="15"/>
  <c r="E84" i="15"/>
  <c r="E86" i="15" s="1"/>
  <c r="B75" i="15"/>
  <c r="F75" i="15"/>
  <c r="F77" i="15" s="1"/>
  <c r="F66" i="15"/>
  <c r="F67" i="15" s="1"/>
  <c r="F68" i="15" s="1"/>
  <c r="J46" i="15"/>
  <c r="B46" i="15"/>
  <c r="E35" i="9"/>
  <c r="E36" i="9"/>
  <c r="J36" i="9"/>
  <c r="D35" i="9"/>
  <c r="C35" i="9"/>
  <c r="B92" i="17"/>
  <c r="B94" i="12"/>
  <c r="B80" i="16"/>
  <c r="B77" i="15"/>
  <c r="G12" i="6"/>
  <c r="J9" i="13"/>
  <c r="B99" i="17" s="1"/>
  <c r="B100" i="17" s="1"/>
  <c r="B101" i="17" s="1"/>
  <c r="B102" i="17" s="1"/>
  <c r="H9" i="13"/>
  <c r="B89" i="17" s="1"/>
  <c r="B91" i="17" s="1"/>
  <c r="F9" i="13"/>
  <c r="B61" i="19" s="1"/>
  <c r="B71" i="19" l="1"/>
  <c r="B73" i="19" s="1"/>
  <c r="B75" i="19" s="1"/>
  <c r="B81" i="17"/>
  <c r="B83" i="17" s="1"/>
  <c r="B87" i="16"/>
  <c r="B89" i="16" s="1"/>
  <c r="B91" i="16" s="1"/>
  <c r="B84" i="15"/>
  <c r="B86" i="15" s="1"/>
  <c r="B88" i="15" s="1"/>
  <c r="B91" i="12"/>
  <c r="B93" i="12" s="1"/>
  <c r="B95" i="12" s="1"/>
  <c r="B98" i="16"/>
  <c r="B99" i="16" s="1"/>
  <c r="B100" i="16" s="1"/>
  <c r="B101" i="16" s="1"/>
  <c r="B82" i="19"/>
  <c r="B83" i="19" s="1"/>
  <c r="B84" i="19" s="1"/>
  <c r="B85" i="19" s="1"/>
  <c r="B94" i="15"/>
  <c r="B95" i="15" s="1"/>
  <c r="B96" i="15" s="1"/>
  <c r="B97" i="15" s="1"/>
  <c r="B82" i="12"/>
  <c r="B84" i="12" s="1"/>
  <c r="E73" i="19"/>
  <c r="B101" i="12"/>
  <c r="B102" i="12" s="1"/>
  <c r="B103" i="12" s="1"/>
  <c r="B104" i="12" s="1"/>
  <c r="B93" i="17"/>
  <c r="E75" i="19"/>
  <c r="E103" i="12"/>
  <c r="E104" i="12" s="1"/>
  <c r="F154" i="6"/>
  <c r="F157" i="6" s="1"/>
  <c r="H157" i="6"/>
  <c r="I157" i="6"/>
  <c r="G154" i="6"/>
  <c r="G157" i="6" s="1"/>
  <c r="E154" i="6"/>
  <c r="E157" i="6" s="1"/>
  <c r="E63" i="19"/>
  <c r="B63" i="19"/>
  <c r="F100" i="16"/>
  <c r="F101" i="16" s="1"/>
  <c r="B58" i="16"/>
  <c r="D9" i="13"/>
  <c r="B53" i="15"/>
  <c r="L53" i="15" s="1"/>
  <c r="L54" i="15" s="1"/>
  <c r="G54" i="15"/>
  <c r="B55" i="17"/>
  <c r="I54" i="17"/>
  <c r="B60" i="12"/>
  <c r="L60" i="12" s="1"/>
  <c r="L61" i="12" s="1"/>
  <c r="L63" i="12" s="1"/>
  <c r="L64" i="12" s="1"/>
  <c r="L65" i="12" s="1"/>
  <c r="I59" i="12"/>
  <c r="B19" i="17"/>
  <c r="B18" i="17"/>
  <c r="B9" i="17"/>
  <c r="B8" i="17"/>
  <c r="B7" i="17"/>
  <c r="D36" i="10"/>
  <c r="D37" i="10"/>
  <c r="J37" i="10"/>
  <c r="B6" i="17" s="1"/>
  <c r="B5" i="17"/>
  <c r="B4" i="17"/>
  <c r="B3" i="17"/>
  <c r="B2" i="17"/>
  <c r="F3" i="17"/>
  <c r="F2" i="17"/>
  <c r="J43" i="5"/>
  <c r="J40" i="10"/>
  <c r="C39" i="10"/>
  <c r="D39" i="10"/>
  <c r="E39" i="10"/>
  <c r="F39" i="10"/>
  <c r="B39" i="10"/>
  <c r="J39" i="10" s="1"/>
  <c r="AA45" i="10"/>
  <c r="E37" i="10"/>
  <c r="F37" i="10"/>
  <c r="C37" i="10"/>
  <c r="E36" i="10"/>
  <c r="F36" i="10"/>
  <c r="C36" i="10"/>
  <c r="F35" i="10"/>
  <c r="D35" i="10"/>
  <c r="E35" i="10"/>
  <c r="C35" i="10"/>
  <c r="C34" i="10"/>
  <c r="D34" i="10"/>
  <c r="J34" i="10" s="1"/>
  <c r="E34" i="10"/>
  <c r="F34" i="10"/>
  <c r="B34" i="10"/>
  <c r="C32" i="5"/>
  <c r="D33" i="10"/>
  <c r="J33" i="10" s="1"/>
  <c r="E33" i="10"/>
  <c r="F33" i="10"/>
  <c r="C33" i="10"/>
  <c r="J44" i="10"/>
  <c r="J43" i="10"/>
  <c r="B65" i="15" l="1"/>
  <c r="B66" i="15"/>
  <c r="B67" i="15" s="1"/>
  <c r="B68" i="15" s="1"/>
  <c r="B71" i="17"/>
  <c r="B72" i="17" s="1"/>
  <c r="B73" i="17" s="1"/>
  <c r="B74" i="17" s="1"/>
  <c r="B51" i="19"/>
  <c r="B52" i="19" s="1"/>
  <c r="B53" i="19" s="1"/>
  <c r="B54" i="19" s="1"/>
  <c r="B72" i="12"/>
  <c r="B75" i="12" s="1"/>
  <c r="B69" i="16"/>
  <c r="B70" i="16" s="1"/>
  <c r="B71" i="16" s="1"/>
  <c r="B72" i="16" s="1"/>
  <c r="B20" i="17"/>
  <c r="C11" i="17"/>
  <c r="C18" i="17" s="1"/>
  <c r="C31" i="17" s="1"/>
  <c r="B61" i="12"/>
  <c r="B63" i="12" s="1"/>
  <c r="B64" i="12" s="1"/>
  <c r="B54" i="15"/>
  <c r="B56" i="17"/>
  <c r="B65" i="12"/>
  <c r="C13" i="17"/>
  <c r="C29" i="17" s="1"/>
  <c r="J35" i="10"/>
  <c r="F3" i="16"/>
  <c r="F2" i="16"/>
  <c r="B9" i="16"/>
  <c r="B19" i="16" s="1"/>
  <c r="B18" i="16"/>
  <c r="J39" i="9"/>
  <c r="B8" i="16" s="1"/>
  <c r="R24" i="9"/>
  <c r="B7" i="16"/>
  <c r="B5" i="16"/>
  <c r="B4" i="16"/>
  <c r="B3" i="16"/>
  <c r="B2" i="16"/>
  <c r="E38" i="9"/>
  <c r="D38" i="9"/>
  <c r="B38" i="9"/>
  <c r="C32" i="9"/>
  <c r="F34" i="9"/>
  <c r="E34" i="9"/>
  <c r="D34" i="9"/>
  <c r="C34" i="9"/>
  <c r="J34" i="9" s="1"/>
  <c r="J43" i="9"/>
  <c r="J42" i="9"/>
  <c r="F38" i="9"/>
  <c r="C38" i="9"/>
  <c r="F35" i="9"/>
  <c r="F36" i="9" s="1"/>
  <c r="D36" i="9"/>
  <c r="C36" i="9"/>
  <c r="F33" i="9"/>
  <c r="E33" i="9"/>
  <c r="D33" i="9"/>
  <c r="C33" i="9"/>
  <c r="B33" i="9"/>
  <c r="J33" i="9" s="1"/>
  <c r="F32" i="9"/>
  <c r="E32" i="9"/>
  <c r="D32" i="9"/>
  <c r="J32" i="9"/>
  <c r="J43" i="8"/>
  <c r="F3" i="15" s="1"/>
  <c r="J42" i="8"/>
  <c r="F2" i="15" s="1"/>
  <c r="B18" i="15"/>
  <c r="B9" i="15"/>
  <c r="B19" i="15" s="1"/>
  <c r="B8" i="15"/>
  <c r="B2" i="15"/>
  <c r="J36" i="8"/>
  <c r="B6" i="15" s="1"/>
  <c r="B38" i="8"/>
  <c r="C35" i="8"/>
  <c r="C34" i="8"/>
  <c r="B33" i="8"/>
  <c r="J33" i="8" s="1"/>
  <c r="B4" i="15" s="1"/>
  <c r="C32" i="8"/>
  <c r="E35" i="8"/>
  <c r="E36" i="8" s="1"/>
  <c r="D35" i="8"/>
  <c r="D36" i="8" s="1"/>
  <c r="J39" i="8"/>
  <c r="F38" i="8"/>
  <c r="E38" i="8"/>
  <c r="D38" i="8"/>
  <c r="C38" i="8"/>
  <c r="F35" i="8"/>
  <c r="F36" i="8" s="1"/>
  <c r="C36" i="8"/>
  <c r="F34" i="8"/>
  <c r="F33" i="8"/>
  <c r="E33" i="8"/>
  <c r="D33" i="8"/>
  <c r="C33" i="8"/>
  <c r="F32" i="8"/>
  <c r="E32" i="8"/>
  <c r="D32" i="8"/>
  <c r="F35" i="6"/>
  <c r="J42" i="6"/>
  <c r="J43" i="6"/>
  <c r="J42" i="5"/>
  <c r="J39" i="6"/>
  <c r="C36" i="6"/>
  <c r="F34" i="6"/>
  <c r="E34" i="6"/>
  <c r="D34" i="6"/>
  <c r="J34" i="6" s="1"/>
  <c r="F33" i="6"/>
  <c r="F32" i="6"/>
  <c r="E32" i="6"/>
  <c r="D32" i="6"/>
  <c r="F38" i="6"/>
  <c r="E38" i="6"/>
  <c r="F36" i="6"/>
  <c r="E35" i="6"/>
  <c r="E36" i="6" s="1"/>
  <c r="D35" i="6"/>
  <c r="D36" i="6" s="1"/>
  <c r="E33" i="6"/>
  <c r="D33" i="6"/>
  <c r="J33" i="6"/>
  <c r="F2" i="12"/>
  <c r="F3" i="12"/>
  <c r="B9" i="13"/>
  <c r="C25" i="12"/>
  <c r="B20" i="12"/>
  <c r="C11" i="12"/>
  <c r="J39" i="5"/>
  <c r="J38" i="5"/>
  <c r="C38" i="5"/>
  <c r="D38" i="5"/>
  <c r="E38" i="5"/>
  <c r="F38" i="5"/>
  <c r="B38" i="5"/>
  <c r="D36" i="5"/>
  <c r="E36" i="5"/>
  <c r="C36" i="5"/>
  <c r="J36" i="5" s="1"/>
  <c r="D35" i="5"/>
  <c r="E35" i="5"/>
  <c r="F35" i="5"/>
  <c r="F36" i="5" s="1"/>
  <c r="C35" i="5"/>
  <c r="D34" i="5"/>
  <c r="E34" i="5"/>
  <c r="F34" i="5"/>
  <c r="C34" i="5"/>
  <c r="J34" i="5" s="1"/>
  <c r="F33" i="5"/>
  <c r="J33" i="5" s="1"/>
  <c r="C33" i="5"/>
  <c r="D33" i="5"/>
  <c r="E33" i="5"/>
  <c r="B33" i="5"/>
  <c r="F32" i="5"/>
  <c r="E32" i="5"/>
  <c r="D32" i="5"/>
  <c r="J32" i="5"/>
  <c r="C25" i="17" l="1"/>
  <c r="C30" i="17" s="1"/>
  <c r="D11" i="17"/>
  <c r="E11" i="17" s="1"/>
  <c r="E18" i="17" s="1"/>
  <c r="C12" i="17"/>
  <c r="C14" i="17" s="1"/>
  <c r="C15" i="17" s="1"/>
  <c r="C28" i="17" s="1"/>
  <c r="C33" i="17" s="1"/>
  <c r="J32" i="8"/>
  <c r="B3" i="15" s="1"/>
  <c r="C11" i="15" s="1"/>
  <c r="C25" i="15" s="1"/>
  <c r="C30" i="15" s="1"/>
  <c r="J32" i="6"/>
  <c r="J36" i="6"/>
  <c r="B20" i="15"/>
  <c r="B20" i="16"/>
  <c r="C13" i="16"/>
  <c r="C29" i="16" s="1"/>
  <c r="C11" i="16"/>
  <c r="J38" i="9"/>
  <c r="D34" i="8"/>
  <c r="J34" i="8" s="1"/>
  <c r="B5" i="15" s="1"/>
  <c r="C13" i="15" s="1"/>
  <c r="C29" i="15" s="1"/>
  <c r="E34" i="8"/>
  <c r="J38" i="8"/>
  <c r="B7" i="15" s="1"/>
  <c r="J38" i="6"/>
  <c r="C12" i="12"/>
  <c r="D11" i="12"/>
  <c r="C18" i="12"/>
  <c r="C31" i="12" s="1"/>
  <c r="D12" i="12"/>
  <c r="D25" i="12"/>
  <c r="D30" i="12" s="1"/>
  <c r="C30" i="12"/>
  <c r="C13" i="12"/>
  <c r="C29" i="12" s="1"/>
  <c r="F11" i="17" l="1"/>
  <c r="F25" i="17" s="1"/>
  <c r="F30" i="17" s="1"/>
  <c r="D12" i="17"/>
  <c r="E12" i="17"/>
  <c r="D18" i="17"/>
  <c r="D31" i="17" s="1"/>
  <c r="D25" i="17"/>
  <c r="D30" i="17" s="1"/>
  <c r="E25" i="17"/>
  <c r="E30" i="17" s="1"/>
  <c r="C19" i="17"/>
  <c r="D11" i="15"/>
  <c r="E11" i="15" s="1"/>
  <c r="E12" i="15" s="1"/>
  <c r="C12" i="15"/>
  <c r="C14" i="15" s="1"/>
  <c r="C15" i="15" s="1"/>
  <c r="C28" i="15" s="1"/>
  <c r="C18" i="15"/>
  <c r="C31" i="15" s="1"/>
  <c r="D11" i="16"/>
  <c r="C25" i="16"/>
  <c r="C30" i="16" s="1"/>
  <c r="C18" i="16"/>
  <c r="C31" i="16" s="1"/>
  <c r="C12" i="16"/>
  <c r="C14" i="16" s="1"/>
  <c r="C15" i="16" s="1"/>
  <c r="C28" i="16" s="1"/>
  <c r="C19" i="15"/>
  <c r="D13" i="15" s="1"/>
  <c r="D29" i="15" s="1"/>
  <c r="C14" i="12"/>
  <c r="C15" i="12" s="1"/>
  <c r="C28" i="12" s="1"/>
  <c r="C33" i="12" s="1"/>
  <c r="C19" i="12"/>
  <c r="D18" i="12"/>
  <c r="D31" i="12" s="1"/>
  <c r="E11" i="12"/>
  <c r="C33" i="15" l="1"/>
  <c r="F18" i="17"/>
  <c r="F31" i="17" s="1"/>
  <c r="G11" i="17"/>
  <c r="G12" i="17" s="1"/>
  <c r="F12" i="17"/>
  <c r="C20" i="17"/>
  <c r="D13" i="17"/>
  <c r="E31" i="17"/>
  <c r="D25" i="15"/>
  <c r="D30" i="15" s="1"/>
  <c r="D18" i="15"/>
  <c r="D31" i="15" s="1"/>
  <c r="D12" i="15"/>
  <c r="D14" i="15" s="1"/>
  <c r="D15" i="15" s="1"/>
  <c r="D28" i="15" s="1"/>
  <c r="D33" i="15" s="1"/>
  <c r="E18" i="15"/>
  <c r="F11" i="15"/>
  <c r="E25" i="15"/>
  <c r="E30" i="15" s="1"/>
  <c r="C33" i="16"/>
  <c r="D18" i="16"/>
  <c r="D31" i="16" s="1"/>
  <c r="E11" i="16"/>
  <c r="D12" i="16"/>
  <c r="D25" i="16"/>
  <c r="D30" i="16" s="1"/>
  <c r="C19" i="16"/>
  <c r="D13" i="16" s="1"/>
  <c r="C20" i="15"/>
  <c r="E12" i="12"/>
  <c r="E18" i="12"/>
  <c r="E31" i="12" s="1"/>
  <c r="F11" i="12"/>
  <c r="E25" i="12"/>
  <c r="E30" i="12" s="1"/>
  <c r="C20" i="12"/>
  <c r="D13" i="12"/>
  <c r="D19" i="12" s="1"/>
  <c r="G25" i="17" l="1"/>
  <c r="G30" i="17" s="1"/>
  <c r="G18" i="17"/>
  <c r="G31" i="17" s="1"/>
  <c r="D29" i="17"/>
  <c r="D19" i="17"/>
  <c r="D14" i="17"/>
  <c r="D15" i="17" s="1"/>
  <c r="D28" i="17" s="1"/>
  <c r="E31" i="15"/>
  <c r="D19" i="15"/>
  <c r="D20" i="15" s="1"/>
  <c r="F12" i="15"/>
  <c r="F18" i="15"/>
  <c r="F31" i="15" s="1"/>
  <c r="G11" i="15"/>
  <c r="F25" i="15"/>
  <c r="F30" i="15" s="1"/>
  <c r="E25" i="16"/>
  <c r="E30" i="16" s="1"/>
  <c r="E18" i="16"/>
  <c r="E31" i="16" s="1"/>
  <c r="F11" i="16"/>
  <c r="E12" i="16"/>
  <c r="D19" i="16"/>
  <c r="D20" i="16" s="1"/>
  <c r="C20" i="16"/>
  <c r="D29" i="16"/>
  <c r="D14" i="16"/>
  <c r="D15" i="16" s="1"/>
  <c r="D28" i="16" s="1"/>
  <c r="F12" i="12"/>
  <c r="G11" i="12"/>
  <c r="F18" i="12"/>
  <c r="F31" i="12" s="1"/>
  <c r="F25" i="12"/>
  <c r="F30" i="12" s="1"/>
  <c r="D29" i="12"/>
  <c r="D14" i="12"/>
  <c r="D15" i="12" s="1"/>
  <c r="D28" i="12" s="1"/>
  <c r="D20" i="12"/>
  <c r="E13" i="12"/>
  <c r="E29" i="12" s="1"/>
  <c r="D33" i="17" l="1"/>
  <c r="D20" i="17"/>
  <c r="E13" i="17"/>
  <c r="G12" i="15"/>
  <c r="G25" i="15"/>
  <c r="G30" i="15" s="1"/>
  <c r="G18" i="15"/>
  <c r="G31" i="15" s="1"/>
  <c r="E13" i="15"/>
  <c r="E19" i="15" s="1"/>
  <c r="F13" i="15" s="1"/>
  <c r="F19" i="15" s="1"/>
  <c r="F18" i="16"/>
  <c r="F31" i="16" s="1"/>
  <c r="F12" i="16"/>
  <c r="F25" i="16"/>
  <c r="F30" i="16" s="1"/>
  <c r="G11" i="16"/>
  <c r="E13" i="16"/>
  <c r="E19" i="16" s="1"/>
  <c r="E20" i="16" s="1"/>
  <c r="D33" i="16"/>
  <c r="E20" i="15"/>
  <c r="E14" i="15"/>
  <c r="E15" i="15" s="1"/>
  <c r="E28" i="15" s="1"/>
  <c r="E14" i="12"/>
  <c r="E15" i="12" s="1"/>
  <c r="E28" i="12" s="1"/>
  <c r="E33" i="12" s="1"/>
  <c r="D33" i="12"/>
  <c r="E19" i="12"/>
  <c r="G12" i="12"/>
  <c r="G25" i="12"/>
  <c r="G30" i="12" s="1"/>
  <c r="G18" i="12"/>
  <c r="G31" i="12" s="1"/>
  <c r="E29" i="15" l="1"/>
  <c r="E33" i="15" s="1"/>
  <c r="E19" i="17"/>
  <c r="E14" i="17"/>
  <c r="E15" i="17" s="1"/>
  <c r="E28" i="17" s="1"/>
  <c r="E29" i="17"/>
  <c r="G18" i="16"/>
  <c r="G31" i="16" s="1"/>
  <c r="G25" i="16"/>
  <c r="G30" i="16" s="1"/>
  <c r="G12" i="16"/>
  <c r="E14" i="16"/>
  <c r="E15" i="16" s="1"/>
  <c r="E28" i="16" s="1"/>
  <c r="E29" i="16"/>
  <c r="F13" i="16"/>
  <c r="F19" i="16" s="1"/>
  <c r="F20" i="16" s="1"/>
  <c r="F20" i="15"/>
  <c r="G13" i="15"/>
  <c r="G19" i="15" s="1"/>
  <c r="G20" i="15" s="1"/>
  <c r="F29" i="15"/>
  <c r="F14" i="15"/>
  <c r="F15" i="15" s="1"/>
  <c r="F28" i="15" s="1"/>
  <c r="F33" i="15" s="1"/>
  <c r="E20" i="12"/>
  <c r="F13" i="12"/>
  <c r="E33" i="17" l="1"/>
  <c r="F13" i="17"/>
  <c r="F19" i="17" s="1"/>
  <c r="E20" i="17"/>
  <c r="E33" i="16"/>
  <c r="F29" i="16"/>
  <c r="G13" i="16"/>
  <c r="G14" i="16" s="1"/>
  <c r="G15" i="16" s="1"/>
  <c r="G28" i="16" s="1"/>
  <c r="F14" i="16"/>
  <c r="F15" i="16" s="1"/>
  <c r="F28" i="16" s="1"/>
  <c r="G29" i="15"/>
  <c r="G14" i="15"/>
  <c r="G15" i="15" s="1"/>
  <c r="G28" i="15" s="1"/>
  <c r="F29" i="12"/>
  <c r="F14" i="12"/>
  <c r="F15" i="12" s="1"/>
  <c r="F28" i="12" s="1"/>
  <c r="F19" i="12"/>
  <c r="F20" i="17" l="1"/>
  <c r="G13" i="17"/>
  <c r="F29" i="17"/>
  <c r="F14" i="17"/>
  <c r="F15" i="17" s="1"/>
  <c r="F28" i="17" s="1"/>
  <c r="F33" i="17" s="1"/>
  <c r="F33" i="12"/>
  <c r="G29" i="16"/>
  <c r="G33" i="16" s="1"/>
  <c r="G19" i="16"/>
  <c r="G20" i="16" s="1"/>
  <c r="F33" i="16"/>
  <c r="G33" i="15"/>
  <c r="F20" i="12"/>
  <c r="G13" i="12"/>
  <c r="G19" i="12" s="1"/>
  <c r="G20" i="12" s="1"/>
  <c r="G19" i="17" l="1"/>
  <c r="G20" i="17" s="1"/>
  <c r="G14" i="17"/>
  <c r="G15" i="17" s="1"/>
  <c r="G28" i="17" s="1"/>
  <c r="G29" i="17"/>
  <c r="C43" i="16"/>
  <c r="C44" i="16" s="1"/>
  <c r="M43" i="16"/>
  <c r="M44" i="16" s="1"/>
  <c r="L46" i="16" s="1"/>
  <c r="L47" i="16" s="1"/>
  <c r="L48" i="16" s="1"/>
  <c r="B60" i="16"/>
  <c r="B61" i="16" s="1"/>
  <c r="L60" i="16"/>
  <c r="L61" i="16" s="1"/>
  <c r="L62" i="16" s="1"/>
  <c r="L56" i="15"/>
  <c r="L57" i="15" s="1"/>
  <c r="L58" i="15" s="1"/>
  <c r="B56" i="15"/>
  <c r="B57" i="15" s="1"/>
  <c r="B58" i="15" s="1"/>
  <c r="C41" i="15"/>
  <c r="K41" i="15"/>
  <c r="K42" i="15" s="1"/>
  <c r="J44" i="15" s="1"/>
  <c r="J45" i="15" s="1"/>
  <c r="G29" i="12"/>
  <c r="G14" i="12"/>
  <c r="G15" i="12" s="1"/>
  <c r="G28" i="12" s="1"/>
  <c r="G33" i="12" s="1"/>
  <c r="G33" i="17" l="1"/>
  <c r="C41" i="17"/>
  <c r="C42" i="17" s="1"/>
  <c r="B44" i="17" s="1"/>
  <c r="B45" i="17" s="1"/>
  <c r="B46" i="17" s="1"/>
  <c r="M41" i="17"/>
  <c r="M42" i="17" s="1"/>
  <c r="L44" i="17" s="1"/>
  <c r="L45" i="17" s="1"/>
  <c r="L46" i="17" s="1"/>
  <c r="B58" i="17"/>
  <c r="B59" i="17" s="1"/>
  <c r="B60" i="17" s="1"/>
  <c r="L58" i="17"/>
  <c r="L59" i="17" s="1"/>
  <c r="L60" i="17" s="1"/>
  <c r="B62" i="16"/>
  <c r="B46" i="16"/>
  <c r="B47" i="16" s="1"/>
  <c r="B48" i="16" s="1"/>
  <c r="C42" i="15"/>
  <c r="B44" i="15" s="1"/>
  <c r="B45" i="15" s="1"/>
  <c r="K45" i="12"/>
  <c r="J49" i="12" s="1"/>
  <c r="B156" i="10"/>
  <c r="F133" i="10"/>
  <c r="B155" i="10"/>
  <c r="I127" i="10"/>
  <c r="H127" i="10"/>
  <c r="G127" i="10"/>
  <c r="F127" i="10"/>
  <c r="E127" i="10"/>
  <c r="I126" i="10"/>
  <c r="I133" i="10" s="1"/>
  <c r="H126" i="10"/>
  <c r="G126" i="10"/>
  <c r="G133" i="10" s="1"/>
  <c r="F126" i="10"/>
  <c r="E126" i="10"/>
  <c r="E132" i="10" s="1"/>
  <c r="I125" i="10"/>
  <c r="I130" i="10" s="1"/>
  <c r="H125" i="10"/>
  <c r="G125" i="10"/>
  <c r="G131" i="10" s="1"/>
  <c r="F125" i="10"/>
  <c r="E125" i="10"/>
  <c r="E131" i="10" s="1"/>
  <c r="I123" i="10"/>
  <c r="H123" i="10"/>
  <c r="H132" i="10" s="1"/>
  <c r="G123" i="10"/>
  <c r="F123" i="10"/>
  <c r="F132" i="10" s="1"/>
  <c r="E123" i="10"/>
  <c r="F143" i="10"/>
  <c r="E143" i="10"/>
  <c r="D143" i="10"/>
  <c r="C143" i="10"/>
  <c r="B143" i="10"/>
  <c r="AE47" i="10"/>
  <c r="F156" i="10" s="1"/>
  <c r="AD47" i="10"/>
  <c r="E156" i="10" s="1"/>
  <c r="AC47" i="10"/>
  <c r="D156" i="10" s="1"/>
  <c r="AB47" i="10"/>
  <c r="C156" i="10" s="1"/>
  <c r="AE41" i="10"/>
  <c r="AD41" i="10"/>
  <c r="AC41" i="10"/>
  <c r="AB41" i="10"/>
  <c r="AA41" i="10"/>
  <c r="AE39" i="10"/>
  <c r="AD39" i="10"/>
  <c r="AC39" i="10"/>
  <c r="AB39" i="10"/>
  <c r="AA39" i="10"/>
  <c r="T34" i="10"/>
  <c r="S34" i="10"/>
  <c r="R34" i="10"/>
  <c r="Q34" i="10"/>
  <c r="P34" i="10"/>
  <c r="AE36" i="10"/>
  <c r="AD36" i="10"/>
  <c r="AC36" i="10"/>
  <c r="AB36" i="10"/>
  <c r="AA36" i="10"/>
  <c r="T31" i="10"/>
  <c r="T32" i="10" s="1"/>
  <c r="F149" i="10" s="1"/>
  <c r="S31" i="10"/>
  <c r="S32" i="10" s="1"/>
  <c r="E149" i="10" s="1"/>
  <c r="R31" i="10"/>
  <c r="R32" i="10" s="1"/>
  <c r="D149" i="10" s="1"/>
  <c r="Q31" i="10"/>
  <c r="Q32" i="10" s="1"/>
  <c r="C149" i="10" s="1"/>
  <c r="P31" i="10"/>
  <c r="P32" i="10" s="1"/>
  <c r="B149" i="10" s="1"/>
  <c r="T30" i="10"/>
  <c r="S30" i="10"/>
  <c r="R30" i="10"/>
  <c r="Q30" i="10"/>
  <c r="P30" i="10"/>
  <c r="AF32" i="10"/>
  <c r="T26" i="10"/>
  <c r="I124" i="10" s="1"/>
  <c r="S26" i="10"/>
  <c r="H124" i="10" s="1"/>
  <c r="R26" i="10"/>
  <c r="G124" i="10" s="1"/>
  <c r="Q26" i="10"/>
  <c r="F124" i="10" s="1"/>
  <c r="P26" i="10"/>
  <c r="B148" i="10" s="1"/>
  <c r="T23" i="10"/>
  <c r="S23" i="10"/>
  <c r="R23" i="10"/>
  <c r="Q23" i="10"/>
  <c r="P23" i="10"/>
  <c r="T22" i="10"/>
  <c r="S22" i="10"/>
  <c r="R22" i="10"/>
  <c r="Q22" i="10"/>
  <c r="P22" i="10"/>
  <c r="AE25" i="10"/>
  <c r="AD25" i="10"/>
  <c r="AC25" i="10"/>
  <c r="AB25" i="10"/>
  <c r="AA25" i="10"/>
  <c r="AE23" i="10"/>
  <c r="AD23" i="10"/>
  <c r="AC23" i="10"/>
  <c r="AB23" i="10"/>
  <c r="AA23" i="10"/>
  <c r="AE21" i="10"/>
  <c r="AE45" i="10" s="1"/>
  <c r="AD21" i="10"/>
  <c r="AD45" i="10" s="1"/>
  <c r="AC21" i="10"/>
  <c r="AC45" i="10" s="1"/>
  <c r="AB21" i="10"/>
  <c r="AB45" i="10" s="1"/>
  <c r="AA21" i="10"/>
  <c r="AE20" i="10"/>
  <c r="AD20" i="10"/>
  <c r="AC20" i="10"/>
  <c r="AB20" i="10"/>
  <c r="AA20" i="10"/>
  <c r="T15" i="10"/>
  <c r="F145" i="10" s="1"/>
  <c r="S15" i="10"/>
  <c r="S19" i="10" s="1"/>
  <c r="S20" i="10" s="1"/>
  <c r="R15" i="10"/>
  <c r="R19" i="10" s="1"/>
  <c r="R17" i="10" s="1"/>
  <c r="Q15" i="10"/>
  <c r="P15" i="10"/>
  <c r="B145" i="10" s="1"/>
  <c r="B175" i="9"/>
  <c r="B174" i="9"/>
  <c r="R172" i="9"/>
  <c r="S169" i="9"/>
  <c r="R169" i="9"/>
  <c r="Q169" i="9"/>
  <c r="P169" i="9"/>
  <c r="P175" i="9" s="1"/>
  <c r="O169" i="9"/>
  <c r="O175" i="9" s="1"/>
  <c r="S168" i="9"/>
  <c r="S175" i="9" s="1"/>
  <c r="R168" i="9"/>
  <c r="R175" i="9" s="1"/>
  <c r="Q168" i="9"/>
  <c r="Q175" i="9" s="1"/>
  <c r="P168" i="9"/>
  <c r="O168" i="9"/>
  <c r="R167" i="9"/>
  <c r="R173" i="9" s="1"/>
  <c r="P167" i="9"/>
  <c r="S165" i="9"/>
  <c r="S174" i="9" s="1"/>
  <c r="R165" i="9"/>
  <c r="Q165" i="9"/>
  <c r="P165" i="9"/>
  <c r="P174" i="9" s="1"/>
  <c r="O165" i="9"/>
  <c r="O174" i="9" s="1"/>
  <c r="F162" i="9"/>
  <c r="E162" i="9"/>
  <c r="D162" i="9"/>
  <c r="C162" i="9"/>
  <c r="B162" i="9"/>
  <c r="AG43" i="9"/>
  <c r="AD43" i="9"/>
  <c r="AC43" i="9"/>
  <c r="AG40" i="9"/>
  <c r="AF40" i="9"/>
  <c r="AE40" i="9"/>
  <c r="AD40" i="9"/>
  <c r="AC40" i="9"/>
  <c r="AC39" i="9" s="1"/>
  <c r="AE39" i="9"/>
  <c r="AD39" i="9"/>
  <c r="AG38" i="9"/>
  <c r="AG39" i="9" s="1"/>
  <c r="AF38" i="9"/>
  <c r="AF39" i="9" s="1"/>
  <c r="AE38" i="9"/>
  <c r="AD38" i="9"/>
  <c r="AC38" i="9"/>
  <c r="AG37" i="9"/>
  <c r="AF37" i="9"/>
  <c r="AG36" i="9"/>
  <c r="AF36" i="9"/>
  <c r="AE36" i="9"/>
  <c r="AE37" i="9" s="1"/>
  <c r="AD36" i="9"/>
  <c r="AD37" i="9" s="1"/>
  <c r="AC36" i="9"/>
  <c r="T35" i="9"/>
  <c r="S35" i="9"/>
  <c r="R35" i="9"/>
  <c r="AG35" i="9"/>
  <c r="AF35" i="9"/>
  <c r="AE35" i="9"/>
  <c r="AD35" i="9"/>
  <c r="AC35" i="9"/>
  <c r="U34" i="9"/>
  <c r="S167" i="9" s="1"/>
  <c r="S173" i="9" s="1"/>
  <c r="T34" i="9"/>
  <c r="S34" i="9"/>
  <c r="Q167" i="9" s="1"/>
  <c r="R34" i="9"/>
  <c r="Q34" i="9"/>
  <c r="Q35" i="9" s="1"/>
  <c r="AG34" i="9"/>
  <c r="AD34" i="9"/>
  <c r="AG33" i="9"/>
  <c r="AF33" i="9"/>
  <c r="AF34" i="9" s="1"/>
  <c r="AE33" i="9"/>
  <c r="AE34" i="9" s="1"/>
  <c r="AD33" i="9"/>
  <c r="AC33" i="9"/>
  <c r="U32" i="9"/>
  <c r="U33" i="9" s="1"/>
  <c r="F168" i="9" s="1"/>
  <c r="T32" i="9"/>
  <c r="T33" i="9" s="1"/>
  <c r="E168" i="9" s="1"/>
  <c r="S32" i="9"/>
  <c r="S33" i="9" s="1"/>
  <c r="D168" i="9" s="1"/>
  <c r="R32" i="9"/>
  <c r="R33" i="9" s="1"/>
  <c r="C168" i="9" s="1"/>
  <c r="AG32" i="9"/>
  <c r="AF32" i="9"/>
  <c r="AE32" i="9"/>
  <c r="AD32" i="9"/>
  <c r="AC32" i="9"/>
  <c r="S31" i="9"/>
  <c r="R31" i="9"/>
  <c r="Q31" i="9"/>
  <c r="U30" i="9"/>
  <c r="U31" i="9" s="1"/>
  <c r="T30" i="9"/>
  <c r="T31" i="9" s="1"/>
  <c r="S30" i="9"/>
  <c r="R30" i="9"/>
  <c r="Q30" i="9"/>
  <c r="AH30" i="9"/>
  <c r="AG30" i="9"/>
  <c r="AF30" i="9"/>
  <c r="AE30" i="9"/>
  <c r="AE43" i="9" s="1"/>
  <c r="AD30" i="9"/>
  <c r="AC30" i="9"/>
  <c r="U29" i="9"/>
  <c r="U27" i="9" s="1"/>
  <c r="T29" i="9"/>
  <c r="T27" i="9" s="1"/>
  <c r="T28" i="9" s="1"/>
  <c r="S29" i="9"/>
  <c r="S27" i="9" s="1"/>
  <c r="S28" i="9" s="1"/>
  <c r="R29" i="9"/>
  <c r="Q29" i="9"/>
  <c r="R27" i="9"/>
  <c r="Q27" i="9"/>
  <c r="AG27" i="9"/>
  <c r="AF27" i="9"/>
  <c r="AE27" i="9"/>
  <c r="AD27" i="9"/>
  <c r="AC27" i="9"/>
  <c r="U25" i="9"/>
  <c r="T25" i="9"/>
  <c r="S25" i="9"/>
  <c r="R25" i="9"/>
  <c r="Q25" i="9"/>
  <c r="U24" i="9"/>
  <c r="T24" i="9"/>
  <c r="T26" i="9" s="1"/>
  <c r="S24" i="9"/>
  <c r="T23" i="9"/>
  <c r="S23" i="9"/>
  <c r="R23" i="9"/>
  <c r="AF23" i="9"/>
  <c r="AE23" i="9"/>
  <c r="AD23" i="9"/>
  <c r="AC23" i="9"/>
  <c r="U22" i="9"/>
  <c r="T22" i="9"/>
  <c r="S22" i="9"/>
  <c r="R22" i="9"/>
  <c r="Q22" i="9"/>
  <c r="AG22" i="9"/>
  <c r="AF22" i="9"/>
  <c r="AE22" i="9"/>
  <c r="AD22" i="9"/>
  <c r="AC22" i="9"/>
  <c r="AG21" i="9"/>
  <c r="AF21" i="9"/>
  <c r="AE21" i="9"/>
  <c r="AG20" i="9"/>
  <c r="AF20" i="9"/>
  <c r="AE20" i="9"/>
  <c r="AD20" i="9"/>
  <c r="AD21" i="9" s="1"/>
  <c r="AC20" i="9"/>
  <c r="AC21" i="9" s="1"/>
  <c r="AG19" i="9"/>
  <c r="AF19" i="9"/>
  <c r="AF43" i="9" s="1"/>
  <c r="AE19" i="9"/>
  <c r="AD19" i="9"/>
  <c r="AC19" i="9"/>
  <c r="AG18" i="9"/>
  <c r="AF18" i="9"/>
  <c r="U17" i="9"/>
  <c r="T17" i="9"/>
  <c r="S17" i="9"/>
  <c r="R17" i="9"/>
  <c r="Q17" i="9"/>
  <c r="AG17" i="9"/>
  <c r="AF17" i="9"/>
  <c r="AE17" i="9"/>
  <c r="AD17" i="9"/>
  <c r="AC17" i="9"/>
  <c r="U15" i="9"/>
  <c r="AG23" i="9" s="1"/>
  <c r="T15" i="9"/>
  <c r="T16" i="9" s="1"/>
  <c r="E164" i="9" s="1"/>
  <c r="S15" i="9"/>
  <c r="R15" i="9"/>
  <c r="Q15" i="9"/>
  <c r="Q16" i="9" s="1"/>
  <c r="B164" i="9" s="1"/>
  <c r="B152" i="8"/>
  <c r="B151" i="8"/>
  <c r="F139" i="8"/>
  <c r="E139" i="8"/>
  <c r="D139" i="8"/>
  <c r="C139" i="8"/>
  <c r="B139" i="8"/>
  <c r="AE36" i="8"/>
  <c r="AE30" i="8" s="1"/>
  <c r="AD36" i="8"/>
  <c r="AD30" i="8" s="1"/>
  <c r="AC36" i="8"/>
  <c r="AB36" i="8"/>
  <c r="AA36" i="8"/>
  <c r="AB35" i="8"/>
  <c r="AE34" i="8"/>
  <c r="AD34" i="8"/>
  <c r="AC34" i="8"/>
  <c r="AB34" i="8"/>
  <c r="AA34" i="8"/>
  <c r="AE32" i="8"/>
  <c r="AD32" i="8"/>
  <c r="AC32" i="8"/>
  <c r="AC33" i="8" s="1"/>
  <c r="AB32" i="8"/>
  <c r="AB33" i="8" s="1"/>
  <c r="AA32" i="8"/>
  <c r="AE31" i="8"/>
  <c r="AD31" i="8"/>
  <c r="AC31" i="8"/>
  <c r="AB31" i="8"/>
  <c r="AA31" i="8"/>
  <c r="T31" i="8"/>
  <c r="S31" i="8"/>
  <c r="R31" i="8"/>
  <c r="Q31" i="8"/>
  <c r="P31" i="8"/>
  <c r="P32" i="8" s="1"/>
  <c r="AE29" i="8"/>
  <c r="AD29" i="8"/>
  <c r="AC29" i="8"/>
  <c r="AB29" i="8"/>
  <c r="AA29" i="8"/>
  <c r="AE28" i="8"/>
  <c r="AD28" i="8"/>
  <c r="AC28" i="8"/>
  <c r="AB28" i="8"/>
  <c r="AA28" i="8"/>
  <c r="T27" i="8"/>
  <c r="S27" i="8"/>
  <c r="R27" i="8"/>
  <c r="Q27" i="8"/>
  <c r="P27" i="8"/>
  <c r="AN27" i="8"/>
  <c r="AE26" i="8"/>
  <c r="AD26" i="8"/>
  <c r="AC26" i="8"/>
  <c r="AB26" i="8"/>
  <c r="AA26" i="8"/>
  <c r="T26" i="8"/>
  <c r="T24" i="8" s="1"/>
  <c r="S26" i="8"/>
  <c r="R26" i="8"/>
  <c r="Q26" i="8"/>
  <c r="P26" i="8"/>
  <c r="AE23" i="8"/>
  <c r="AD23" i="8"/>
  <c r="AC23" i="8"/>
  <c r="AB23" i="8"/>
  <c r="AB17" i="8" s="1"/>
  <c r="AA23" i="8"/>
  <c r="T22" i="8"/>
  <c r="S22" i="8"/>
  <c r="R22" i="8"/>
  <c r="Q22" i="8"/>
  <c r="P22" i="8"/>
  <c r="R21" i="8"/>
  <c r="Q21" i="8"/>
  <c r="T19" i="8"/>
  <c r="S19" i="8"/>
  <c r="R19" i="8"/>
  <c r="Q19" i="8"/>
  <c r="P19" i="8"/>
  <c r="AE18" i="8"/>
  <c r="AD18" i="8"/>
  <c r="AC18" i="8"/>
  <c r="AB18" i="8"/>
  <c r="AA18" i="8"/>
  <c r="AE16" i="8"/>
  <c r="AD16" i="8"/>
  <c r="AD17" i="8" s="1"/>
  <c r="AC16" i="8"/>
  <c r="AC17" i="8" s="1"/>
  <c r="AB16" i="8"/>
  <c r="AA16" i="8"/>
  <c r="AE15" i="8"/>
  <c r="AE39" i="8" s="1"/>
  <c r="AD15" i="8"/>
  <c r="AD39" i="8" s="1"/>
  <c r="AC15" i="8"/>
  <c r="AC39" i="8" s="1"/>
  <c r="AB15" i="8"/>
  <c r="AB39" i="8" s="1"/>
  <c r="AA15" i="8"/>
  <c r="T14" i="8"/>
  <c r="S14" i="8"/>
  <c r="R14" i="8"/>
  <c r="Q14" i="8"/>
  <c r="P14" i="8"/>
  <c r="AE13" i="8"/>
  <c r="AD13" i="8"/>
  <c r="AC13" i="8"/>
  <c r="AB13" i="8"/>
  <c r="AA13" i="8"/>
  <c r="T12" i="8"/>
  <c r="AE14" i="8" s="1"/>
  <c r="S12" i="8"/>
  <c r="S13" i="8" s="1"/>
  <c r="E141" i="8" s="1"/>
  <c r="R12" i="8"/>
  <c r="Q12" i="8"/>
  <c r="Q13" i="8" s="1"/>
  <c r="C141" i="8" s="1"/>
  <c r="P12" i="8"/>
  <c r="AA19" i="8" s="1"/>
  <c r="B83" i="6"/>
  <c r="B82" i="6"/>
  <c r="F70" i="6"/>
  <c r="E70" i="6"/>
  <c r="D70" i="6"/>
  <c r="C70" i="6"/>
  <c r="B70" i="6"/>
  <c r="AH40" i="6"/>
  <c r="AH37" i="6" s="1"/>
  <c r="AG40" i="6"/>
  <c r="AF40" i="6"/>
  <c r="AF37" i="6" s="1"/>
  <c r="AE40" i="6"/>
  <c r="AH38" i="6"/>
  <c r="AG38" i="6"/>
  <c r="AF38" i="6"/>
  <c r="AF39" i="6" s="1"/>
  <c r="AE38" i="6"/>
  <c r="AE39" i="6" s="1"/>
  <c r="AH36" i="6"/>
  <c r="AG36" i="6"/>
  <c r="AG37" i="6" s="1"/>
  <c r="AF36" i="6"/>
  <c r="AE36" i="6"/>
  <c r="AH35" i="6"/>
  <c r="AG35" i="6"/>
  <c r="AF35" i="6"/>
  <c r="AE35" i="6"/>
  <c r="W35" i="6"/>
  <c r="V35" i="6"/>
  <c r="U35" i="6"/>
  <c r="T35" i="6"/>
  <c r="S35" i="6"/>
  <c r="AH33" i="6"/>
  <c r="AG33" i="6"/>
  <c r="AG34" i="6" s="1"/>
  <c r="AF33" i="6"/>
  <c r="AE33" i="6"/>
  <c r="AE34" i="6" s="1"/>
  <c r="U33" i="6"/>
  <c r="U34" i="6" s="1"/>
  <c r="D76" i="6" s="1"/>
  <c r="AH32" i="6"/>
  <c r="AG32" i="6"/>
  <c r="AF32" i="6"/>
  <c r="AE32" i="6"/>
  <c r="W31" i="6"/>
  <c r="W33" i="6" s="1"/>
  <c r="W34" i="6" s="1"/>
  <c r="F76" i="6" s="1"/>
  <c r="V31" i="6"/>
  <c r="V28" i="6" s="1"/>
  <c r="U31" i="6"/>
  <c r="T31" i="6"/>
  <c r="S31" i="6"/>
  <c r="S32" i="6" s="1"/>
  <c r="AH30" i="6"/>
  <c r="AG30" i="6"/>
  <c r="AF30" i="6"/>
  <c r="AE30" i="6"/>
  <c r="W30" i="6"/>
  <c r="V30" i="6"/>
  <c r="U30" i="6"/>
  <c r="T30" i="6"/>
  <c r="T28" i="6" s="1"/>
  <c r="F147" i="6" s="1"/>
  <c r="S30" i="6"/>
  <c r="S28" i="6" s="1"/>
  <c r="E147" i="6" s="1"/>
  <c r="U28" i="6"/>
  <c r="G147" i="6" s="1"/>
  <c r="AH27" i="6"/>
  <c r="AH21" i="6" s="1"/>
  <c r="AG27" i="6"/>
  <c r="AF27" i="6"/>
  <c r="AE27" i="6"/>
  <c r="W26" i="6"/>
  <c r="V26" i="6"/>
  <c r="U26" i="6"/>
  <c r="T26" i="6"/>
  <c r="S26" i="6"/>
  <c r="S24" i="6"/>
  <c r="W23" i="6"/>
  <c r="V23" i="6"/>
  <c r="U23" i="6"/>
  <c r="T23" i="6"/>
  <c r="T25" i="6" s="1"/>
  <c r="S23" i="6"/>
  <c r="AH22" i="6"/>
  <c r="AG22" i="6"/>
  <c r="AF22" i="6"/>
  <c r="AE22" i="6"/>
  <c r="AF21" i="6"/>
  <c r="AH20" i="6"/>
  <c r="AG20" i="6"/>
  <c r="AG21" i="6" s="1"/>
  <c r="AF20" i="6"/>
  <c r="AE20" i="6"/>
  <c r="AE21" i="6" s="1"/>
  <c r="AD43" i="6"/>
  <c r="W18" i="6"/>
  <c r="V18" i="6"/>
  <c r="U18" i="6"/>
  <c r="T18" i="6"/>
  <c r="T17" i="6" s="1"/>
  <c r="S18" i="6"/>
  <c r="S17" i="6" s="1"/>
  <c r="S21" i="6" s="1"/>
  <c r="S22" i="6" s="1"/>
  <c r="AH17" i="6"/>
  <c r="AG17" i="6"/>
  <c r="AF17" i="6"/>
  <c r="AE17" i="6"/>
  <c r="W16" i="6"/>
  <c r="V16" i="6"/>
  <c r="U16" i="6"/>
  <c r="T16" i="6"/>
  <c r="AE23" i="6" s="1"/>
  <c r="S16" i="6"/>
  <c r="H165" i="5"/>
  <c r="G165" i="5"/>
  <c r="F165" i="5"/>
  <c r="E165" i="5"/>
  <c r="D165" i="5"/>
  <c r="Y36" i="5"/>
  <c r="X36" i="5"/>
  <c r="W36" i="5"/>
  <c r="W33" i="5" s="1"/>
  <c r="V36" i="5"/>
  <c r="U36" i="5"/>
  <c r="Y34" i="5"/>
  <c r="X34" i="5"/>
  <c r="W34" i="5"/>
  <c r="V34" i="5"/>
  <c r="U34" i="5"/>
  <c r="U35" i="5" s="1"/>
  <c r="Y32" i="5"/>
  <c r="X32" i="5"/>
  <c r="X33" i="5" s="1"/>
  <c r="W32" i="5"/>
  <c r="V32" i="5"/>
  <c r="U32" i="5"/>
  <c r="Y31" i="5"/>
  <c r="X31" i="5"/>
  <c r="W31" i="5"/>
  <c r="V31" i="5"/>
  <c r="U31" i="5"/>
  <c r="AH31" i="5"/>
  <c r="AG31" i="5"/>
  <c r="AF31" i="5"/>
  <c r="AE31" i="5"/>
  <c r="AD31" i="5"/>
  <c r="Y29" i="5"/>
  <c r="X29" i="5"/>
  <c r="X30" i="5" s="1"/>
  <c r="W29" i="5"/>
  <c r="V29" i="5"/>
  <c r="U29" i="5"/>
  <c r="Y28" i="5"/>
  <c r="X28" i="5"/>
  <c r="W28" i="5"/>
  <c r="V28" i="5"/>
  <c r="U28" i="5"/>
  <c r="AH27" i="5"/>
  <c r="AH29" i="5" s="1"/>
  <c r="AH30" i="5" s="1"/>
  <c r="AG27" i="5"/>
  <c r="AF27" i="5"/>
  <c r="AE27" i="5"/>
  <c r="AD27" i="5"/>
  <c r="Y26" i="5"/>
  <c r="X26" i="5"/>
  <c r="W26" i="5"/>
  <c r="V26" i="5"/>
  <c r="U26" i="5"/>
  <c r="AH26" i="5"/>
  <c r="AG26" i="5"/>
  <c r="AF26" i="5"/>
  <c r="AE26" i="5"/>
  <c r="AD26" i="5"/>
  <c r="AG24" i="5"/>
  <c r="Y23" i="5"/>
  <c r="X23" i="5"/>
  <c r="W23" i="5"/>
  <c r="V23" i="5"/>
  <c r="U23" i="5"/>
  <c r="AH22" i="5"/>
  <c r="AG22" i="5"/>
  <c r="AF22" i="5"/>
  <c r="AE22" i="5"/>
  <c r="AD22" i="5"/>
  <c r="AE20" i="5"/>
  <c r="AD20" i="5"/>
  <c r="AH19" i="5"/>
  <c r="AG19" i="5"/>
  <c r="AF19" i="5"/>
  <c r="AE19" i="5"/>
  <c r="AD19" i="5"/>
  <c r="Y18" i="5"/>
  <c r="X18" i="5"/>
  <c r="W18" i="5"/>
  <c r="V18" i="5"/>
  <c r="U18" i="5"/>
  <c r="W17" i="5"/>
  <c r="V17" i="5"/>
  <c r="Y16" i="5"/>
  <c r="Y17" i="5" s="1"/>
  <c r="X16" i="5"/>
  <c r="W16" i="5"/>
  <c r="V16" i="5"/>
  <c r="U16" i="5"/>
  <c r="U17" i="5" s="1"/>
  <c r="Y15" i="5"/>
  <c r="Y39" i="5" s="1"/>
  <c r="X15" i="5"/>
  <c r="W15" i="5"/>
  <c r="V15" i="5"/>
  <c r="V39" i="5" s="1"/>
  <c r="U15" i="5"/>
  <c r="U39" i="5" s="1"/>
  <c r="U14" i="5"/>
  <c r="AH14" i="5"/>
  <c r="AG14" i="5"/>
  <c r="AF14" i="5"/>
  <c r="AE14" i="5"/>
  <c r="AD14" i="5"/>
  <c r="Y13" i="5"/>
  <c r="X13" i="5"/>
  <c r="X41" i="5" s="1"/>
  <c r="W13" i="5"/>
  <c r="W41" i="5" s="1"/>
  <c r="V13" i="5"/>
  <c r="U13" i="5"/>
  <c r="V41" i="5" s="1"/>
  <c r="AF13" i="5"/>
  <c r="F167" i="5" s="1"/>
  <c r="AD13" i="5"/>
  <c r="D167" i="5" s="1"/>
  <c r="AH12" i="5"/>
  <c r="AG12" i="5"/>
  <c r="AF12" i="5"/>
  <c r="AF20" i="5" s="1"/>
  <c r="AE12" i="5"/>
  <c r="AD12" i="5"/>
  <c r="R20" i="10" l="1"/>
  <c r="S17" i="10"/>
  <c r="S18" i="10" s="1"/>
  <c r="S25" i="10"/>
  <c r="E146" i="10" s="1"/>
  <c r="AF44" i="9"/>
  <c r="E174" i="9" s="1"/>
  <c r="AD44" i="9"/>
  <c r="C174" i="9" s="1"/>
  <c r="AG44" i="9"/>
  <c r="F174" i="9" s="1"/>
  <c r="E75" i="6"/>
  <c r="H147" i="6"/>
  <c r="AD35" i="8"/>
  <c r="P29" i="8"/>
  <c r="P30" i="8" s="1"/>
  <c r="B145" i="8" s="1"/>
  <c r="AE35" i="8"/>
  <c r="R13" i="8"/>
  <c r="D141" i="8" s="1"/>
  <c r="Q28" i="8"/>
  <c r="AA14" i="8"/>
  <c r="AA39" i="8"/>
  <c r="AB40" i="8" s="1"/>
  <c r="C151" i="8" s="1"/>
  <c r="AD41" i="8"/>
  <c r="E152" i="8" s="1"/>
  <c r="P21" i="8"/>
  <c r="R32" i="8"/>
  <c r="AE33" i="8"/>
  <c r="AE40" i="8"/>
  <c r="F151" i="8" s="1"/>
  <c r="AD33" i="8"/>
  <c r="AE41" i="8"/>
  <c r="F152" i="8" s="1"/>
  <c r="Q29" i="8"/>
  <c r="Q30" i="8" s="1"/>
  <c r="C145" i="8" s="1"/>
  <c r="Q17" i="8"/>
  <c r="Q18" i="8" s="1"/>
  <c r="R17" i="8"/>
  <c r="R18" i="8" s="1"/>
  <c r="AG43" i="6"/>
  <c r="AF43" i="6"/>
  <c r="AF44" i="6" s="1"/>
  <c r="D82" i="6" s="1"/>
  <c r="AG45" i="6"/>
  <c r="E83" i="6" s="1"/>
  <c r="AE45" i="6"/>
  <c r="C83" i="6" s="1"/>
  <c r="AF45" i="6"/>
  <c r="D83" i="6" s="1"/>
  <c r="S25" i="6"/>
  <c r="S27" i="6" s="1"/>
  <c r="B78" i="6" s="1"/>
  <c r="V25" i="6"/>
  <c r="V27" i="6" s="1"/>
  <c r="T32" i="6"/>
  <c r="V36" i="6"/>
  <c r="B49" i="12"/>
  <c r="E124" i="10"/>
  <c r="P25" i="10"/>
  <c r="R25" i="10"/>
  <c r="E145" i="10"/>
  <c r="T19" i="10"/>
  <c r="B150" i="10"/>
  <c r="H131" i="10"/>
  <c r="D148" i="10"/>
  <c r="D150" i="10" s="1"/>
  <c r="E148" i="10"/>
  <c r="E150" i="10" s="1"/>
  <c r="H130" i="10"/>
  <c r="P27" i="10"/>
  <c r="G132" i="10"/>
  <c r="Q25" i="10"/>
  <c r="C151" i="10" s="1"/>
  <c r="I131" i="10"/>
  <c r="H133" i="10"/>
  <c r="F130" i="10"/>
  <c r="E130" i="10"/>
  <c r="P19" i="10"/>
  <c r="T25" i="10"/>
  <c r="F151" i="10" s="1"/>
  <c r="AC46" i="10"/>
  <c r="D155" i="10" s="1"/>
  <c r="S26" i="9"/>
  <c r="D165" i="9" s="1"/>
  <c r="Q20" i="9"/>
  <c r="AE44" i="9"/>
  <c r="D174" i="9" s="1"/>
  <c r="P24" i="8"/>
  <c r="B144" i="8" s="1"/>
  <c r="B146" i="8" s="1"/>
  <c r="T13" i="8"/>
  <c r="F141" i="8" s="1"/>
  <c r="AB14" i="8"/>
  <c r="Q24" i="8"/>
  <c r="Q23" i="8" s="1"/>
  <c r="R28" i="8"/>
  <c r="AB30" i="8"/>
  <c r="AC30" i="8"/>
  <c r="S21" i="8"/>
  <c r="AC35" i="8"/>
  <c r="AB19" i="8"/>
  <c r="P28" i="8"/>
  <c r="AC19" i="8"/>
  <c r="Q20" i="8"/>
  <c r="Q32" i="8"/>
  <c r="R20" i="8"/>
  <c r="AC40" i="8"/>
  <c r="D151" i="8" s="1"/>
  <c r="AH45" i="6"/>
  <c r="F83" i="6" s="1"/>
  <c r="S29" i="6"/>
  <c r="AH43" i="6"/>
  <c r="U24" i="6"/>
  <c r="T27" i="6"/>
  <c r="C78" i="6" s="1"/>
  <c r="W28" i="6"/>
  <c r="W29" i="6" s="1"/>
  <c r="U36" i="6"/>
  <c r="AH39" i="6"/>
  <c r="W36" i="6"/>
  <c r="AE18" i="6"/>
  <c r="T24" i="6"/>
  <c r="T36" i="6"/>
  <c r="V40" i="5"/>
  <c r="W35" i="5"/>
  <c r="X35" i="5"/>
  <c r="V30" i="5"/>
  <c r="AD28" i="5"/>
  <c r="W30" i="5"/>
  <c r="Y40" i="5"/>
  <c r="X39" i="5"/>
  <c r="AE24" i="5"/>
  <c r="Y33" i="5"/>
  <c r="Y41" i="5"/>
  <c r="Y19" i="5"/>
  <c r="AH21" i="5"/>
  <c r="AH23" i="5" s="1"/>
  <c r="H168" i="5" s="1"/>
  <c r="U19" i="5"/>
  <c r="AD21" i="5"/>
  <c r="AH32" i="5"/>
  <c r="V35" i="5"/>
  <c r="X17" i="5"/>
  <c r="X14" i="5"/>
  <c r="AH24" i="5"/>
  <c r="AG25" i="5"/>
  <c r="U33" i="5"/>
  <c r="W39" i="5"/>
  <c r="W40" i="5" s="1"/>
  <c r="AD24" i="5"/>
  <c r="AD25" i="5" s="1"/>
  <c r="AF29" i="5"/>
  <c r="AF30" i="5" s="1"/>
  <c r="Y30" i="5"/>
  <c r="V33" i="5"/>
  <c r="AE25" i="5"/>
  <c r="E170" i="9"/>
  <c r="E165" i="9"/>
  <c r="C72" i="6"/>
  <c r="T21" i="6"/>
  <c r="Y14" i="5"/>
  <c r="AG29" i="5"/>
  <c r="AG30" i="5" s="1"/>
  <c r="U17" i="6"/>
  <c r="D72" i="6" s="1"/>
  <c r="V24" i="6"/>
  <c r="T29" i="6"/>
  <c r="S33" i="6"/>
  <c r="S34" i="6" s="1"/>
  <c r="B76" i="6" s="1"/>
  <c r="W32" i="6"/>
  <c r="AG39" i="6"/>
  <c r="C75" i="6"/>
  <c r="S17" i="8"/>
  <c r="S18" i="8" s="1"/>
  <c r="U23" i="9"/>
  <c r="U26" i="9"/>
  <c r="R28" i="9"/>
  <c r="C167" i="9"/>
  <c r="C169" i="9" s="1"/>
  <c r="P166" i="9"/>
  <c r="Q174" i="9"/>
  <c r="W14" i="5"/>
  <c r="AF17" i="5"/>
  <c r="AF18" i="5" s="1"/>
  <c r="AF21" i="5"/>
  <c r="AF24" i="5"/>
  <c r="Y35" i="5"/>
  <c r="W17" i="6"/>
  <c r="F72" i="6" s="1"/>
  <c r="AF18" i="6"/>
  <c r="W24" i="6"/>
  <c r="V29" i="6"/>
  <c r="AE37" i="6"/>
  <c r="AD40" i="8"/>
  <c r="E151" i="8" s="1"/>
  <c r="R174" i="9"/>
  <c r="R176" i="9" s="1"/>
  <c r="AG21" i="5"/>
  <c r="AG23" i="5" s="1"/>
  <c r="AG20" i="5"/>
  <c r="AD29" i="5"/>
  <c r="AD30" i="5" s="1"/>
  <c r="AH18" i="6"/>
  <c r="AD32" i="5"/>
  <c r="U25" i="6"/>
  <c r="U27" i="6" s="1"/>
  <c r="V32" i="6"/>
  <c r="V33" i="6"/>
  <c r="V34" i="6" s="1"/>
  <c r="E76" i="6" s="1"/>
  <c r="E77" i="6" s="1"/>
  <c r="T20" i="8"/>
  <c r="T21" i="8"/>
  <c r="T23" i="8" s="1"/>
  <c r="O167" i="9"/>
  <c r="U32" i="6"/>
  <c r="AE21" i="5"/>
  <c r="AE32" i="5"/>
  <c r="W21" i="6"/>
  <c r="W22" i="6" s="1"/>
  <c r="W25" i="6"/>
  <c r="AD19" i="8"/>
  <c r="AD14" i="8"/>
  <c r="V19" i="5"/>
  <c r="V14" i="5"/>
  <c r="AE13" i="5"/>
  <c r="W19" i="5"/>
  <c r="U30" i="5"/>
  <c r="AF32" i="5"/>
  <c r="S19" i="6"/>
  <c r="B72" i="6"/>
  <c r="AE19" i="8"/>
  <c r="T28" i="8"/>
  <c r="S16" i="9"/>
  <c r="AC33" i="10"/>
  <c r="D144" i="10"/>
  <c r="R18" i="10"/>
  <c r="X19" i="5"/>
  <c r="AF28" i="5"/>
  <c r="AG32" i="5"/>
  <c r="T33" i="6"/>
  <c r="T34" i="6" s="1"/>
  <c r="C76" i="6" s="1"/>
  <c r="R29" i="8"/>
  <c r="R30" i="8" s="1"/>
  <c r="D145" i="8" s="1"/>
  <c r="AA35" i="8"/>
  <c r="AA30" i="8"/>
  <c r="R166" i="9"/>
  <c r="E167" i="9"/>
  <c r="E169" i="9" s="1"/>
  <c r="Q173" i="9"/>
  <c r="Q172" i="9"/>
  <c r="AG28" i="5"/>
  <c r="AF23" i="6"/>
  <c r="S36" i="6"/>
  <c r="S32" i="8"/>
  <c r="S29" i="8"/>
  <c r="S30" i="8" s="1"/>
  <c r="E145" i="8" s="1"/>
  <c r="F167" i="9"/>
  <c r="F169" i="9" s="1"/>
  <c r="S166" i="9"/>
  <c r="U28" i="9"/>
  <c r="AH13" i="5"/>
  <c r="AH28" i="5"/>
  <c r="AG23" i="6"/>
  <c r="AG18" i="6"/>
  <c r="V17" i="6"/>
  <c r="AH23" i="6"/>
  <c r="AH34" i="6"/>
  <c r="T29" i="8"/>
  <c r="T30" i="8" s="1"/>
  <c r="F145" i="8" s="1"/>
  <c r="T32" i="8"/>
  <c r="D75" i="6"/>
  <c r="D77" i="6" s="1"/>
  <c r="U29" i="6"/>
  <c r="AD45" i="9"/>
  <c r="C175" i="9" s="1"/>
  <c r="AD18" i="9"/>
  <c r="T20" i="10"/>
  <c r="T17" i="10"/>
  <c r="AE28" i="5"/>
  <c r="AE29" i="5"/>
  <c r="AE30" i="5" s="1"/>
  <c r="AE44" i="6"/>
  <c r="C82" i="6" s="1"/>
  <c r="AC41" i="8"/>
  <c r="D152" i="8" s="1"/>
  <c r="AC14" i="8"/>
  <c r="AE45" i="9"/>
  <c r="D175" i="9" s="1"/>
  <c r="AE18" i="9"/>
  <c r="AG13" i="5"/>
  <c r="AD17" i="5"/>
  <c r="AD18" i="5" s="1"/>
  <c r="AH20" i="5"/>
  <c r="AF34" i="6"/>
  <c r="B75" i="6"/>
  <c r="AG45" i="9"/>
  <c r="F175" i="9" s="1"/>
  <c r="AF45" i="9"/>
  <c r="E175" i="9" s="1"/>
  <c r="O166" i="9"/>
  <c r="B167" i="9"/>
  <c r="Q28" i="9"/>
  <c r="AB41" i="8"/>
  <c r="C152" i="8" s="1"/>
  <c r="AA17" i="8"/>
  <c r="S20" i="8"/>
  <c r="R16" i="9"/>
  <c r="AC37" i="9"/>
  <c r="S172" i="9"/>
  <c r="C145" i="10"/>
  <c r="Q19" i="10"/>
  <c r="AB46" i="10"/>
  <c r="C155" i="10" s="1"/>
  <c r="B146" i="10"/>
  <c r="B151" i="10"/>
  <c r="Q32" i="9"/>
  <c r="Q33" i="9" s="1"/>
  <c r="B168" i="9" s="1"/>
  <c r="P173" i="9"/>
  <c r="P176" i="9" s="1"/>
  <c r="P172" i="9"/>
  <c r="AD46" i="10"/>
  <c r="E155" i="10" s="1"/>
  <c r="D146" i="10"/>
  <c r="D151" i="10"/>
  <c r="F144" i="8"/>
  <c r="T25" i="8"/>
  <c r="T20" i="9"/>
  <c r="AC34" i="9"/>
  <c r="AE46" i="10"/>
  <c r="F155" i="10" s="1"/>
  <c r="P13" i="8"/>
  <c r="AE17" i="8"/>
  <c r="AA33" i="8"/>
  <c r="Q24" i="9"/>
  <c r="Q26" i="9" s="1"/>
  <c r="Q23" i="9"/>
  <c r="R26" i="9"/>
  <c r="P20" i="8"/>
  <c r="U16" i="9"/>
  <c r="F164" i="9" s="1"/>
  <c r="Q166" i="9"/>
  <c r="D167" i="9"/>
  <c r="D169" i="9" s="1"/>
  <c r="G134" i="10"/>
  <c r="R24" i="8"/>
  <c r="S28" i="8"/>
  <c r="S176" i="9"/>
  <c r="AD33" i="10"/>
  <c r="E144" i="10"/>
  <c r="S24" i="8"/>
  <c r="AC18" i="9"/>
  <c r="D145" i="10"/>
  <c r="F146" i="10"/>
  <c r="C148" i="10"/>
  <c r="C150" i="10" s="1"/>
  <c r="G130" i="10"/>
  <c r="I132" i="10"/>
  <c r="Q27" i="10"/>
  <c r="R27" i="10"/>
  <c r="F148" i="10"/>
  <c r="F150" i="10" s="1"/>
  <c r="F152" i="10" s="1"/>
  <c r="U35" i="9"/>
  <c r="S27" i="10"/>
  <c r="F131" i="10"/>
  <c r="F134" i="10" s="1"/>
  <c r="T27" i="10"/>
  <c r="E133" i="10"/>
  <c r="E134" i="10" s="1"/>
  <c r="E151" i="10" l="1"/>
  <c r="H134" i="10"/>
  <c r="F75" i="6"/>
  <c r="F77" i="6" s="1"/>
  <c r="I147" i="6"/>
  <c r="P23" i="8"/>
  <c r="B142" i="8" s="1"/>
  <c r="R15" i="8"/>
  <c r="R16" i="8" s="1"/>
  <c r="T17" i="8"/>
  <c r="T18" i="8" s="1"/>
  <c r="Q25" i="8"/>
  <c r="S15" i="8"/>
  <c r="E140" i="8" s="1"/>
  <c r="P25" i="8"/>
  <c r="C144" i="8"/>
  <c r="C146" i="8" s="1"/>
  <c r="AC27" i="8"/>
  <c r="Q15" i="8"/>
  <c r="AB27" i="8" s="1"/>
  <c r="AG44" i="6"/>
  <c r="E82" i="6" s="1"/>
  <c r="AH44" i="6"/>
  <c r="F82" i="6" s="1"/>
  <c r="B73" i="6"/>
  <c r="E73" i="6"/>
  <c r="E78" i="6"/>
  <c r="E79" i="6" s="1"/>
  <c r="D152" i="10"/>
  <c r="D158" i="10" s="1"/>
  <c r="E152" i="10"/>
  <c r="E158" i="10" s="1"/>
  <c r="B152" i="10"/>
  <c r="C146" i="10"/>
  <c r="I134" i="10"/>
  <c r="C152" i="10"/>
  <c r="C158" i="10" s="1"/>
  <c r="P17" i="10"/>
  <c r="P20" i="10"/>
  <c r="Q21" i="9"/>
  <c r="Q18" i="9"/>
  <c r="E171" i="9"/>
  <c r="E177" i="9" s="1"/>
  <c r="B169" i="9"/>
  <c r="U20" i="9"/>
  <c r="U18" i="9" s="1"/>
  <c r="D170" i="9"/>
  <c r="D171" i="9" s="1"/>
  <c r="D177" i="9" s="1"/>
  <c r="T15" i="8"/>
  <c r="AE27" i="8" s="1"/>
  <c r="F146" i="8"/>
  <c r="B77" i="6"/>
  <c r="B79" i="6" s="1"/>
  <c r="W19" i="6"/>
  <c r="U21" i="6"/>
  <c r="U22" i="6" s="1"/>
  <c r="W27" i="6"/>
  <c r="F78" i="6" s="1"/>
  <c r="F79" i="6" s="1"/>
  <c r="C77" i="6"/>
  <c r="C79" i="6" s="1"/>
  <c r="C85" i="6" s="1"/>
  <c r="C73" i="6"/>
  <c r="X40" i="5"/>
  <c r="AD23" i="5"/>
  <c r="AE23" i="5"/>
  <c r="AH25" i="5"/>
  <c r="AF15" i="5"/>
  <c r="AF16" i="5" s="1"/>
  <c r="AF23" i="5"/>
  <c r="B165" i="9"/>
  <c r="B170" i="9"/>
  <c r="D168" i="5"/>
  <c r="O173" i="9"/>
  <c r="O176" i="9" s="1"/>
  <c r="O172" i="9"/>
  <c r="F147" i="8"/>
  <c r="F142" i="8"/>
  <c r="G168" i="5"/>
  <c r="E168" i="5"/>
  <c r="AF25" i="5"/>
  <c r="V21" i="6"/>
  <c r="E72" i="6"/>
  <c r="Q20" i="10"/>
  <c r="Q17" i="10"/>
  <c r="T18" i="9"/>
  <c r="T21" i="9"/>
  <c r="C142" i="8"/>
  <c r="C147" i="8"/>
  <c r="AD15" i="5"/>
  <c r="Q176" i="9"/>
  <c r="C170" i="9"/>
  <c r="C165" i="9"/>
  <c r="F158" i="10"/>
  <c r="D144" i="8"/>
  <c r="D146" i="8" s="1"/>
  <c r="R23" i="8"/>
  <c r="R25" i="8"/>
  <c r="P17" i="8"/>
  <c r="B141" i="8"/>
  <c r="D164" i="9"/>
  <c r="S20" i="9"/>
  <c r="S20" i="6"/>
  <c r="B71" i="6"/>
  <c r="F166" i="5"/>
  <c r="AE33" i="10"/>
  <c r="F144" i="10"/>
  <c r="T18" i="10"/>
  <c r="AE17" i="5"/>
  <c r="E167" i="5"/>
  <c r="D78" i="6"/>
  <c r="D79" i="6" s="1"/>
  <c r="D85" i="6" s="1"/>
  <c r="D73" i="6"/>
  <c r="T22" i="6"/>
  <c r="T19" i="6"/>
  <c r="AG17" i="5"/>
  <c r="G167" i="5"/>
  <c r="C171" i="9"/>
  <c r="C177" i="9" s="1"/>
  <c r="E144" i="8"/>
  <c r="E146" i="8" s="1"/>
  <c r="S23" i="8"/>
  <c r="S25" i="8"/>
  <c r="C164" i="9"/>
  <c r="R20" i="9"/>
  <c r="H167" i="5"/>
  <c r="AH17" i="5"/>
  <c r="F170" i="9"/>
  <c r="F171" i="9" s="1"/>
  <c r="F177" i="9" s="1"/>
  <c r="F165" i="9"/>
  <c r="U21" i="9" l="1"/>
  <c r="B147" i="8"/>
  <c r="B148" i="8" s="1"/>
  <c r="AD27" i="8"/>
  <c r="C140" i="8"/>
  <c r="S16" i="8"/>
  <c r="Q16" i="8"/>
  <c r="C148" i="8"/>
  <c r="C154" i="8" s="1"/>
  <c r="D140" i="8"/>
  <c r="F85" i="6"/>
  <c r="E85" i="6"/>
  <c r="F73" i="6"/>
  <c r="W20" i="6"/>
  <c r="F71" i="6"/>
  <c r="B144" i="10"/>
  <c r="AA33" i="10"/>
  <c r="P18" i="10"/>
  <c r="B171" i="9"/>
  <c r="AC31" i="9"/>
  <c r="B163" i="9"/>
  <c r="Q19" i="9"/>
  <c r="F148" i="8"/>
  <c r="F154" i="8" s="1"/>
  <c r="T16" i="8"/>
  <c r="F140" i="8"/>
  <c r="U19" i="6"/>
  <c r="W27" i="5"/>
  <c r="F168" i="5"/>
  <c r="R21" i="9"/>
  <c r="R18" i="9"/>
  <c r="AE18" i="5"/>
  <c r="AE15" i="5"/>
  <c r="D142" i="8"/>
  <c r="D147" i="8"/>
  <c r="D148" i="8" s="1"/>
  <c r="D154" i="8" s="1"/>
  <c r="C71" i="6"/>
  <c r="T20" i="6"/>
  <c r="AD16" i="5"/>
  <c r="D166" i="5"/>
  <c r="U27" i="5"/>
  <c r="AH18" i="5"/>
  <c r="AH15" i="5"/>
  <c r="AG18" i="5"/>
  <c r="AG15" i="5"/>
  <c r="S21" i="9"/>
  <c r="S18" i="9"/>
  <c r="AB33" i="10"/>
  <c r="C144" i="10"/>
  <c r="Q18" i="10"/>
  <c r="V22" i="6"/>
  <c r="V19" i="6"/>
  <c r="T19" i="9"/>
  <c r="E163" i="9"/>
  <c r="AF31" i="9"/>
  <c r="E147" i="8"/>
  <c r="E148" i="8" s="1"/>
  <c r="E154" i="8" s="1"/>
  <c r="E142" i="8"/>
  <c r="F163" i="9"/>
  <c r="U19" i="9"/>
  <c r="AG31" i="9"/>
  <c r="P18" i="8"/>
  <c r="P15" i="8"/>
  <c r="U20" i="6" l="1"/>
  <c r="D71" i="6"/>
  <c r="AA27" i="8"/>
  <c r="B140" i="8"/>
  <c r="P16" i="8"/>
  <c r="AE31" i="9"/>
  <c r="D163" i="9"/>
  <c r="S19" i="9"/>
  <c r="E71" i="6"/>
  <c r="V20" i="6"/>
  <c r="X27" i="5"/>
  <c r="G166" i="5"/>
  <c r="AG16" i="5"/>
  <c r="V27" i="5"/>
  <c r="AE16" i="5"/>
  <c r="E166" i="5"/>
  <c r="Y27" i="5"/>
  <c r="H166" i="5"/>
  <c r="AH16" i="5"/>
  <c r="AD31" i="9"/>
  <c r="R19" i="9"/>
  <c r="C163" i="9"/>
</calcChain>
</file>

<file path=xl/sharedStrings.xml><?xml version="1.0" encoding="utf-8"?>
<sst xmlns="http://schemas.openxmlformats.org/spreadsheetml/2006/main" count="1623" uniqueCount="300">
  <si>
    <t>Year</t>
  </si>
  <si>
    <t>Revenue (cr)</t>
  </si>
  <si>
    <t>EBIDTA(cr)</t>
  </si>
  <si>
    <t>EBDT(cr)</t>
  </si>
  <si>
    <t>EBT(cr)</t>
  </si>
  <si>
    <t>PAT(cr)</t>
  </si>
  <si>
    <t>Opertnl Income(cr)</t>
  </si>
  <si>
    <t>Interest(cr)</t>
  </si>
  <si>
    <t>Share Capital</t>
  </si>
  <si>
    <t>Reserves &amp; Surplus</t>
  </si>
  <si>
    <t>Long-Term Borrowing</t>
  </si>
  <si>
    <t>Short-Term Borrowing</t>
  </si>
  <si>
    <t>Total Current Liabilities</t>
  </si>
  <si>
    <t>Total Fixed Assets</t>
  </si>
  <si>
    <t>Cash and Bank Balance</t>
  </si>
  <si>
    <t>Total Current Assets</t>
  </si>
  <si>
    <t>Inventory</t>
  </si>
  <si>
    <t>Total Assets</t>
  </si>
  <si>
    <t>Trade receivables</t>
  </si>
  <si>
    <t>Trade payables</t>
  </si>
  <si>
    <t>Total Liabilities</t>
  </si>
  <si>
    <t>FY</t>
  </si>
  <si>
    <t>Statement of Income and expenditure</t>
  </si>
  <si>
    <t>Balance Sheet</t>
  </si>
  <si>
    <t>Common sizing</t>
  </si>
  <si>
    <t>Revenue</t>
  </si>
  <si>
    <t>Assets</t>
  </si>
  <si>
    <t>SG&amp;A expenses</t>
  </si>
  <si>
    <t>Total fixed assets</t>
  </si>
  <si>
    <t>Operating income</t>
  </si>
  <si>
    <t>Net Fixed Assets turnover ratio</t>
  </si>
  <si>
    <t>COGS</t>
  </si>
  <si>
    <t>Total current assets</t>
  </si>
  <si>
    <t>COGS as % of revenue</t>
  </si>
  <si>
    <t>Cash and cash equivalent</t>
  </si>
  <si>
    <t>Gross Profit</t>
  </si>
  <si>
    <t>Cash and Cash equivalents/Total Assets</t>
  </si>
  <si>
    <t>%Gross profit margin</t>
  </si>
  <si>
    <t>Trade reveivables</t>
  </si>
  <si>
    <t>EBITDA</t>
  </si>
  <si>
    <t>Accounts receivable turnover ratio</t>
  </si>
  <si>
    <t>%EBITDA margin</t>
  </si>
  <si>
    <t>Amortization</t>
  </si>
  <si>
    <t>Inventory turnover ratio</t>
  </si>
  <si>
    <t>EBDT</t>
  </si>
  <si>
    <t>Depreciation</t>
  </si>
  <si>
    <t>Total assets</t>
  </si>
  <si>
    <t>EBIT</t>
  </si>
  <si>
    <t>%EBIT margin</t>
  </si>
  <si>
    <t>Liabilities &amp; Equity</t>
  </si>
  <si>
    <t>Interest</t>
  </si>
  <si>
    <t>Total current liabilities</t>
  </si>
  <si>
    <t>EBT</t>
  </si>
  <si>
    <t>Current Liab. (Accounts payable)Turnover ratio</t>
  </si>
  <si>
    <t>%EBT margin</t>
  </si>
  <si>
    <t>Taxes</t>
  </si>
  <si>
    <t>Long term borrowing</t>
  </si>
  <si>
    <t>%Tax rate</t>
  </si>
  <si>
    <t>Long term borrowings/Total Liab. &amp; Equity</t>
  </si>
  <si>
    <t>PAT</t>
  </si>
  <si>
    <t>Short term borrowing</t>
  </si>
  <si>
    <t>%Net profit margin</t>
  </si>
  <si>
    <t>Reserve and surplus</t>
  </si>
  <si>
    <t>Reserves &amp; Surplus/ Total Liab. &amp; Equity</t>
  </si>
  <si>
    <t>Equity Share capital/Total Liab. &amp; Equity</t>
  </si>
  <si>
    <t>Total liability&amp;Equity</t>
  </si>
  <si>
    <t>NWC</t>
  </si>
  <si>
    <t>TFC</t>
  </si>
  <si>
    <t>FCFF</t>
  </si>
  <si>
    <t>DuPont analysis</t>
  </si>
  <si>
    <t>Sales</t>
  </si>
  <si>
    <t>Parameter</t>
  </si>
  <si>
    <t>Cost of Goods Sold</t>
  </si>
  <si>
    <t>Sales revenue</t>
  </si>
  <si>
    <t>SG&amp;A</t>
  </si>
  <si>
    <t>Net Profit</t>
  </si>
  <si>
    <t>Shareholder’s equity</t>
  </si>
  <si>
    <t>Tax rate</t>
  </si>
  <si>
    <t>EBIT*(1-T)</t>
  </si>
  <si>
    <t>ROE</t>
  </si>
  <si>
    <t>ebit(1-t) + da</t>
  </si>
  <si>
    <t xml:space="preserve"> Net Profit margin</t>
  </si>
  <si>
    <t>Asset turnover ratio</t>
  </si>
  <si>
    <t>Financial leverage</t>
  </si>
  <si>
    <t>Deduct Change in NWC</t>
  </si>
  <si>
    <t>Deduct Capital Expenditures</t>
  </si>
  <si>
    <t>INFOBEANS TECHNOLOGIES LIMITED</t>
  </si>
  <si>
    <t>TCS E-SERVE INTERNATIONAL LIMITED</t>
  </si>
  <si>
    <t>Revenue Growth</t>
  </si>
  <si>
    <t>YOY Sales Growth Rate</t>
  </si>
  <si>
    <t>EBITDA Margin</t>
  </si>
  <si>
    <t>Depreciation/Net FA(t-1)</t>
  </si>
  <si>
    <t>CAPEX/Sales Revenue</t>
  </si>
  <si>
    <t>CAPEX</t>
  </si>
  <si>
    <t>Net WC</t>
  </si>
  <si>
    <t>Net WC/sales revenue</t>
  </si>
  <si>
    <t>ROA</t>
  </si>
  <si>
    <t>Retention Ratio</t>
  </si>
  <si>
    <t>Input Drivers</t>
  </si>
  <si>
    <t>Sales revenue at 2019</t>
  </si>
  <si>
    <t>Sales growth rate for planning period</t>
  </si>
  <si>
    <t>EBITDA margin</t>
  </si>
  <si>
    <r>
      <t>Depreciation &amp; Amortization/Net FA</t>
    </r>
    <r>
      <rPr>
        <vertAlign val="subscript"/>
        <sz val="11"/>
        <color theme="1"/>
        <rFont val="Arial"/>
        <family val="2"/>
        <scheme val="minor"/>
      </rPr>
      <t>t-1</t>
    </r>
  </si>
  <si>
    <t>Net WC/Sales revenue</t>
  </si>
  <si>
    <t>Net FA 2019</t>
  </si>
  <si>
    <t>Projections of Profit &amp; Loss (few items)</t>
  </si>
  <si>
    <t>DA</t>
  </si>
  <si>
    <t>EBIT *(1-Tax rate)</t>
  </si>
  <si>
    <t>Projections of Balance sheet (few items)</t>
  </si>
  <si>
    <t>Net FA</t>
  </si>
  <si>
    <t>CAPEX Projections</t>
  </si>
  <si>
    <t>FCFF Projections</t>
  </si>
  <si>
    <t>EBIT*(1-Tax rate)</t>
  </si>
  <si>
    <t>Depreciation &amp; Amortization expense</t>
  </si>
  <si>
    <t>Change in Net Operating WC</t>
  </si>
  <si>
    <t>Terminal value growth rate in FCFF</t>
  </si>
  <si>
    <t>Terminal value at 2024</t>
  </si>
  <si>
    <t>crores</t>
  </si>
  <si>
    <t>PV of Terminal value</t>
  </si>
  <si>
    <t>EV of firm at March ending 2019</t>
  </si>
  <si>
    <t>Equity value at March ending 2019</t>
  </si>
  <si>
    <t>Share price intrinsic</t>
  </si>
  <si>
    <t>Rs. Per share</t>
  </si>
  <si>
    <t>Market price</t>
  </si>
  <si>
    <t>https://www.moneycontrol.com/financials/infobeanstechnologies/ratiosVI/IT05/1#IT05</t>
  </si>
  <si>
    <t>https://www.topstockresearch.com/INDIAN_STOCKS/COMPUTERS_SOFTWARE/FundamentalAnalysisOfInfoBeans_Technologies_Ltd.html</t>
  </si>
  <si>
    <t>shares outstanding</t>
  </si>
  <si>
    <t>as on 22/4/2022</t>
  </si>
  <si>
    <t>Max pric using DCF</t>
  </si>
  <si>
    <t xml:space="preserve">Min price using DCF </t>
  </si>
  <si>
    <t>WAAC of infobean</t>
  </si>
  <si>
    <t>WACC</t>
  </si>
  <si>
    <t>Infobeans</t>
  </si>
  <si>
    <t>TCS</t>
  </si>
  <si>
    <t>Tata elxsi</t>
  </si>
  <si>
    <t>Ramco</t>
  </si>
  <si>
    <t>L&amp;T</t>
  </si>
  <si>
    <t>wacc</t>
  </si>
  <si>
    <t>DCF With Perpetual Growth Rate</t>
  </si>
  <si>
    <t>DCF With EV/EBITDA</t>
  </si>
  <si>
    <t>EV/EBITDA</t>
  </si>
  <si>
    <t>Average</t>
  </si>
  <si>
    <t>EBITDA (2019)</t>
  </si>
  <si>
    <t>DCF With perpetual growth</t>
  </si>
  <si>
    <t>PEG</t>
  </si>
  <si>
    <t>EV/sales</t>
  </si>
  <si>
    <t>Relative Valuation</t>
  </si>
  <si>
    <t>EV</t>
  </si>
  <si>
    <t>Industry Average</t>
  </si>
  <si>
    <t>total debt</t>
  </si>
  <si>
    <t xml:space="preserve">total debt </t>
  </si>
  <si>
    <t>Equity Value</t>
  </si>
  <si>
    <t>Fair price</t>
  </si>
  <si>
    <t>PE</t>
  </si>
  <si>
    <t>Earnings</t>
  </si>
  <si>
    <t>Price per share</t>
  </si>
  <si>
    <t xml:space="preserve">Relative Valuation </t>
  </si>
  <si>
    <t>PEG Ratio</t>
  </si>
  <si>
    <t>Industry PEG</t>
  </si>
  <si>
    <t>EPS growth</t>
  </si>
  <si>
    <t>PE ratio</t>
  </si>
  <si>
    <t>EV/SALES</t>
  </si>
  <si>
    <t>cash</t>
  </si>
  <si>
    <t>C</t>
  </si>
  <si>
    <t>s</t>
  </si>
  <si>
    <t>In Millions of INR</t>
  </si>
  <si>
    <t>Mar 17 A</t>
  </si>
  <si>
    <t>Mar 18 A</t>
  </si>
  <si>
    <t>Mar 19 A</t>
  </si>
  <si>
    <t>Mar 20 A</t>
  </si>
  <si>
    <t>Mar 21 A</t>
  </si>
  <si>
    <t>Mar 22 A</t>
  </si>
  <si>
    <t>Mar 23 E</t>
  </si>
  <si>
    <t>Mar 24 E</t>
  </si>
  <si>
    <t>Mar 25 E</t>
  </si>
  <si>
    <t>Mar 26 E</t>
  </si>
  <si>
    <t>Mar 27 E</t>
  </si>
  <si>
    <t>Mar 28 E</t>
  </si>
  <si>
    <t>Year 5</t>
  </si>
  <si>
    <t>-5FY</t>
  </si>
  <si>
    <t>-4FY</t>
  </si>
  <si>
    <t>-3FY</t>
  </si>
  <si>
    <t>-2FY</t>
  </si>
  <si>
    <t>-1FY</t>
  </si>
  <si>
    <t>-0FY</t>
  </si>
  <si>
    <t>1FY</t>
  </si>
  <si>
    <t>2FY</t>
  </si>
  <si>
    <t>3FY</t>
  </si>
  <si>
    <t>4FY</t>
  </si>
  <si>
    <t>5FY</t>
  </si>
  <si>
    <t>6FY</t>
  </si>
  <si>
    <t>Revenue (Estimate Comparable)</t>
  </si>
  <si>
    <t>Revenue (Adjusted)</t>
  </si>
  <si>
    <t>% YoY Growth</t>
  </si>
  <si>
    <t>Edit Row</t>
  </si>
  <si>
    <t>Row # of choice</t>
  </si>
  <si>
    <t>Click on a cell below to select assumption (selected cells are highlighted in blue)</t>
  </si>
  <si>
    <t xml:space="preserve">BEst Consensus Revenue </t>
  </si>
  <si>
    <t>5 Year Moving Trend</t>
  </si>
  <si>
    <t>BEst Consensus EPS Long Term Growth</t>
  </si>
  <si>
    <t xml:space="preserve">Input (%) </t>
  </si>
  <si>
    <t>%</t>
  </si>
  <si>
    <t>&gt;&gt;</t>
  </si>
  <si>
    <t>Input (INR)</t>
  </si>
  <si>
    <t>Highlight estimates if…</t>
  </si>
  <si>
    <t>Less than</t>
  </si>
  <si>
    <t>Greater than</t>
  </si>
  <si>
    <t>Revenue YoY growth</t>
  </si>
  <si>
    <t>Number of analysts estimating Revenue</t>
  </si>
  <si>
    <t>Number of analysts estimating EPS LTG Rate</t>
  </si>
  <si>
    <t>(-) Cost of Revenue</t>
  </si>
  <si>
    <t>(-) Cost of Revenue (GAAP)</t>
  </si>
  <si>
    <t>% of Revenue</t>
  </si>
  <si>
    <t/>
  </si>
  <si>
    <t>(=) Gross Profit</t>
  </si>
  <si>
    <t>% Margin</t>
  </si>
  <si>
    <t>BEst Consensus Gross Margin</t>
  </si>
  <si>
    <t>Last Year's Gross Margin</t>
  </si>
  <si>
    <t>&lt;&lt;</t>
  </si>
  <si>
    <t>Input (%)</t>
  </si>
  <si>
    <t>Gross Margin YoY Change</t>
  </si>
  <si>
    <t>Number of analysts estimating Gross Margin</t>
  </si>
  <si>
    <t>(-) Operating Expenses/Income</t>
  </si>
  <si>
    <t>BEst Consensus Implied Operating Expense as a % of Revenue</t>
  </si>
  <si>
    <t>Last Year's Operating Expense as a % of Revenue</t>
  </si>
  <si>
    <t>Operating Expenses/Income as a % of Revenue change</t>
  </si>
  <si>
    <t>Number of analysts estimating Operating Profit</t>
  </si>
  <si>
    <t>(=) Operating Income</t>
  </si>
  <si>
    <t>(-) Tax on Operating Income</t>
  </si>
  <si>
    <t>% Tax Rate</t>
  </si>
  <si>
    <t>5 Year Rolling Average Effective Tax Rate</t>
  </si>
  <si>
    <t>Last Year's Effective Tax Rate</t>
  </si>
  <si>
    <t>Input</t>
  </si>
  <si>
    <t>Estimated Tax on Operating Income</t>
  </si>
  <si>
    <t>(=) NOPAT</t>
  </si>
  <si>
    <t>(+) Depreciation &amp; Amortization</t>
  </si>
  <si>
    <t>BEst Consensus Implied Depreciation &amp; Amortization as a % of Revenue</t>
  </si>
  <si>
    <t>Last Year's Depreciation &amp; Amortization as a % of Revenue</t>
  </si>
  <si>
    <t>Depr &amp; Amort as a % of Revenue change</t>
  </si>
  <si>
    <t>Number of analysts estimating EBITDA</t>
  </si>
  <si>
    <t>(-) Capital Expenditure</t>
  </si>
  <si>
    <t>BEst Consensus Capital Expenditure</t>
  </si>
  <si>
    <t>5 Year Rolling Average</t>
  </si>
  <si>
    <t>Last Year's Capital Expenditure</t>
  </si>
  <si>
    <t>Capex as a % of Revenue YoY change</t>
  </si>
  <si>
    <t>NA</t>
  </si>
  <si>
    <t>The ratio Capex / Depr &amp; Amort</t>
  </si>
  <si>
    <t>Number of analysts estimating Capex</t>
  </si>
  <si>
    <t>(-) Changes in Net Working Capital</t>
  </si>
  <si>
    <t xml:space="preserve">5 Year Rolling Average </t>
  </si>
  <si>
    <t>Change in NWC as a % of Revenue YoY change</t>
  </si>
  <si>
    <t>(+) Changes in Net Long Term Deferred Tax Liabilities</t>
  </si>
  <si>
    <t>Change in Net LT Def Tax Liab as a % of Revenue YoY chg</t>
  </si>
  <si>
    <t>(+) Other User Estimated Non-Cash Adjustments</t>
  </si>
  <si>
    <t>(=) Free Cash Flow</t>
  </si>
  <si>
    <t>Free Cash Flow Margin YoY Change</t>
  </si>
  <si>
    <t>% of the Free Cash Flow to be discounted</t>
  </si>
  <si>
    <t>Period for Discount Factor (Mid-Year Convention)</t>
  </si>
  <si>
    <t>Discount Factor @ 10.3% WACC</t>
  </si>
  <si>
    <t>Present Value of Free Cash Flow (5 Years)</t>
  </si>
  <si>
    <t>EBITDA Margin YoY Change</t>
  </si>
  <si>
    <t>Output Analysis</t>
  </si>
  <si>
    <t>Perpetuity Growth Method - Value per Share</t>
  </si>
  <si>
    <t>EBITDA Multiple Method - Value per Share</t>
  </si>
  <si>
    <t>Free Cash Flow at Year 5</t>
  </si>
  <si>
    <t>Terminal EBITDA at Year 5</t>
  </si>
  <si>
    <t>Perpetuity Growth Rate</t>
  </si>
  <si>
    <t>Exit Enterprise Value / EBITDA</t>
  </si>
  <si>
    <t>Perpetuity Value at End of Year 5</t>
  </si>
  <si>
    <t>Terminal Value at End of Year 5</t>
  </si>
  <si>
    <t>Present Value of Perpetuity  (@ 10.3% WACC)</t>
  </si>
  <si>
    <t>Present Value of Terminal Value  (@ 10.3% WACC)</t>
  </si>
  <si>
    <t>(+) Present Value of Free Cash Flows  (@ 10.3% WACC)</t>
  </si>
  <si>
    <t>(=) Current Enterprise Value</t>
  </si>
  <si>
    <t>Short Term Debt</t>
  </si>
  <si>
    <t>(+) Long Term Debt</t>
  </si>
  <si>
    <t>(-) Cash and Marketable Securities</t>
  </si>
  <si>
    <t>(-) Current Net Debt</t>
  </si>
  <si>
    <t>(-) Current Preferred and Minority Interest</t>
  </si>
  <si>
    <t>(=) Equity Value</t>
  </si>
  <si>
    <t>Shares outstanding</t>
  </si>
  <si>
    <t>Estimated Value per Share (INR)</t>
  </si>
  <si>
    <t>Current Price (INR)</t>
  </si>
  <si>
    <t xml:space="preserve">Estimated Upside </t>
  </si>
  <si>
    <t xml:space="preserve">shares outstanding </t>
  </si>
  <si>
    <t>Technical and Fundamental Analysis</t>
  </si>
  <si>
    <t>Graphs</t>
  </si>
  <si>
    <t>DCF Terminal EBITDA</t>
  </si>
  <si>
    <t>PE Ratio</t>
  </si>
  <si>
    <t>52 Week Low/High</t>
  </si>
  <si>
    <t>Max</t>
  </si>
  <si>
    <t>Difference</t>
  </si>
  <si>
    <t>Min</t>
  </si>
  <si>
    <t>TATA ELXSI</t>
  </si>
  <si>
    <t>Larsen Tubro Infotech</t>
  </si>
  <si>
    <t>Infobean Technologies</t>
  </si>
  <si>
    <t>Ramco Systems</t>
  </si>
  <si>
    <t xml:space="preserve">DCF Perpetuity growth rate </t>
  </si>
  <si>
    <t>P/E</t>
  </si>
  <si>
    <t>Industry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</si>
</sst>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₹&quot;\ #,##0.00;[Red]&quot;₹&quot;\ \-#,##0.00"/>
    <numFmt numFmtId="43" formatCode="_ * #,##0.00_ ;_ * \-#,##0.00_ ;_ * &quot;-&quot;??_ ;_ @_ "/>
    <numFmt numFmtId="164" formatCode="_-* #,##0_-;\-* #,##0_-;_-* &quot;-&quot;_-;_-@_-"/>
    <numFmt numFmtId="165" formatCode="_-* #,##0.00_-;\-* #,##0.00_-;_-* &quot;-&quot;??_-;_-@_-"/>
    <numFmt numFmtId="166" formatCode="_-&quot;R$&quot;\ * #,##0.00_-;\-&quot;R$&quot;\ * #,##0.00_-;_-&quot;R$&quot;\ * &quot;-&quot;??_-;_-@_-"/>
    <numFmt numFmtId="167" formatCode="0.0%"/>
    <numFmt numFmtId="168" formatCode="_(* #,##0_);_(* \(#,##0\);_(* &quot;-&quot;??_);_(@_)"/>
    <numFmt numFmtId="169" formatCode="_(* #,##0.0_);_(* \(#,##0.0\);_(* &quot;-&quot;?_);_(@_)"/>
    <numFmt numFmtId="170" formatCode="#,##0.0\x_)"/>
    <numFmt numFmtId="171" formatCode="_(* #,##0.00_);_(* \(#,##0.00\);_(* &quot;-&quot;?_);_(@_)"/>
    <numFmt numFmtId="172" formatCode="_(* #,##0_);_(* \(#,##0\);_(* &quot;-&quot;?_);_(@_)"/>
    <numFmt numFmtId="173" formatCode="_-* #,##0_-;\-* #,##0_-;_-* &quot;-&quot;??_-;_-@_-"/>
  </numFmts>
  <fonts count="72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30"/>
      <color rgb="FF000000"/>
      <name val="&quot;Times New Roman&quot;"/>
    </font>
    <font>
      <sz val="18"/>
      <color rgb="FF000000"/>
      <name val="&quot;Times New Roman&quot;"/>
    </font>
    <font>
      <b/>
      <sz val="16"/>
      <color rgb="FF000000"/>
      <name val="&quot;Times New Roman&quot;"/>
    </font>
    <font>
      <sz val="16"/>
      <color rgb="FF000000"/>
      <name val="&quot;Times New Roman&quot;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1"/>
      <color rgb="FFFF0000"/>
      <name val="Calibri"/>
      <family val="2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  <font>
      <b/>
      <i/>
      <sz val="12"/>
      <color theme="1"/>
      <name val="Arial"/>
      <family val="2"/>
    </font>
    <font>
      <b/>
      <sz val="11"/>
      <color theme="1"/>
      <name val="Calibri"/>
      <family val="2"/>
    </font>
    <font>
      <b/>
      <sz val="16"/>
      <color rgb="FFFFFFFF"/>
      <name val="&quot;Times New Roman&quot;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1"/>
      <color rgb="FF222222"/>
      <name val="&quot;Google Sans&quot;"/>
    </font>
    <font>
      <b/>
      <sz val="11"/>
      <color rgb="FFFF0000"/>
      <name val="Calibri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rgb="FF333333"/>
      <name val="Arial"/>
      <family val="2"/>
      <scheme val="minor"/>
    </font>
    <font>
      <vertAlign val="subscript"/>
      <sz val="11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indexed="9"/>
      <name val="Calibri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8"/>
      <color theme="3"/>
      <name val="Arial"/>
      <family val="2"/>
      <scheme val="major"/>
    </font>
    <font>
      <sz val="11"/>
      <color rgb="FF9C6500"/>
      <name val="Arial"/>
      <family val="2"/>
      <scheme val="minor"/>
    </font>
    <font>
      <u/>
      <sz val="11"/>
      <color theme="10"/>
      <name val="Arial"/>
      <family val="2"/>
      <scheme val="minor"/>
    </font>
    <font>
      <sz val="9"/>
      <color theme="1"/>
      <name val="Arial"/>
      <family val="2"/>
      <scheme val="minor"/>
    </font>
    <font>
      <sz val="9"/>
      <name val="Arial"/>
      <family val="2"/>
      <scheme val="minor"/>
    </font>
    <font>
      <b/>
      <sz val="9"/>
      <name val="Calibri"/>
      <family val="2"/>
    </font>
    <font>
      <sz val="9"/>
      <name val="Calibri"/>
      <family val="2"/>
    </font>
    <font>
      <b/>
      <u/>
      <sz val="9"/>
      <color rgb="FF0000FF"/>
      <name val="Calibri"/>
      <family val="2"/>
    </font>
    <font>
      <b/>
      <sz val="9"/>
      <color theme="1"/>
      <name val="Arial"/>
      <family val="2"/>
      <scheme val="minor"/>
    </font>
    <font>
      <b/>
      <sz val="9"/>
      <color rgb="FF000000"/>
      <name val="Arial"/>
      <family val="2"/>
      <scheme val="minor"/>
    </font>
    <font>
      <b/>
      <sz val="9"/>
      <color rgb="FFFFFFFF"/>
      <name val="Arial"/>
      <family val="2"/>
      <scheme val="minor"/>
    </font>
    <font>
      <sz val="9"/>
      <color theme="0"/>
      <name val="Arial"/>
      <family val="2"/>
      <scheme val="minor"/>
    </font>
    <font>
      <b/>
      <sz val="9"/>
      <name val="Arial"/>
      <family val="2"/>
      <scheme val="minor"/>
    </font>
    <font>
      <b/>
      <sz val="9"/>
      <color theme="1" tint="0.499984740745262"/>
      <name val="Arial"/>
      <family val="2"/>
      <scheme val="minor"/>
    </font>
    <font>
      <u/>
      <sz val="9"/>
      <name val="Calibri"/>
      <family val="2"/>
    </font>
    <font>
      <sz val="9"/>
      <color theme="1" tint="0.499984740745262"/>
      <name val="Arial"/>
      <family val="2"/>
      <scheme val="minor"/>
    </font>
    <font>
      <sz val="9"/>
      <color theme="0" tint="-4.9989318521683403E-2"/>
      <name val="Calibri"/>
      <family val="2"/>
    </font>
    <font>
      <i/>
      <sz val="9"/>
      <name val="Calibri"/>
      <family val="2"/>
    </font>
    <font>
      <b/>
      <sz val="9"/>
      <color rgb="FF000000"/>
      <name val="Calibri"/>
      <family val="2"/>
    </font>
    <font>
      <sz val="9"/>
      <color theme="4" tint="0.79998168889431442"/>
      <name val="Arial"/>
      <family val="2"/>
      <scheme val="minor"/>
    </font>
    <font>
      <b/>
      <sz val="9"/>
      <color theme="4" tint="0.79998168889431442"/>
      <name val="Calibri"/>
      <family val="2"/>
    </font>
    <font>
      <b/>
      <u/>
      <sz val="9"/>
      <color theme="4" tint="0.79998168889431442"/>
      <name val="Calibri"/>
      <family val="2"/>
    </font>
    <font>
      <sz val="9"/>
      <color theme="4" tint="0.79998168889431442"/>
      <name val="Calibri"/>
      <family val="2"/>
    </font>
    <font>
      <b/>
      <sz val="11"/>
      <color rgb="FFFFFFFF"/>
      <name val="Arial"/>
      <family val="2"/>
      <scheme val="minor"/>
    </font>
    <font>
      <u/>
      <sz val="8.5"/>
      <color indexed="12"/>
      <name val="Calibri"/>
      <family val="2"/>
    </font>
    <font>
      <b/>
      <sz val="10"/>
      <color theme="1"/>
      <name val="Arial"/>
      <family val="2"/>
      <scheme val="minor"/>
    </font>
    <font>
      <b/>
      <sz val="11"/>
      <color rgb="FF000000"/>
      <name val="Calibri"/>
      <family val="2"/>
    </font>
  </fonts>
  <fills count="5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4F81BD"/>
        <bgColor rgb="FF4F81BD"/>
      </patternFill>
    </fill>
    <fill>
      <patternFill patternType="solid">
        <fgColor rgb="FFF4CCCC"/>
        <bgColor rgb="FFF4CC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DCDB"/>
        <bgColor indexed="64"/>
      </patternFill>
    </fill>
    <fill>
      <gradientFill>
        <stop position="0">
          <color rgb="FF1F497D"/>
        </stop>
        <stop position="0.5">
          <color rgb="FF4F81BD"/>
        </stop>
        <stop position="1">
          <color rgb="FF1F497D"/>
        </stop>
      </gradientFill>
    </fill>
    <fill>
      <gradientFill>
        <stop position="0">
          <color rgb="FFFCD5B4"/>
        </stop>
        <stop position="0.5">
          <color rgb="FFFDE9D9"/>
        </stop>
        <stop position="1">
          <color rgb="FFFCD5B4"/>
        </stop>
      </gradient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auto="1"/>
      </patternFill>
    </fill>
    <fill>
      <patternFill patternType="solid">
        <fgColor indexed="62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4F81BD"/>
      </patternFill>
    </fill>
    <fill>
      <patternFill patternType="solid">
        <fgColor theme="0"/>
        <bgColor theme="1"/>
      </patternFill>
    </fill>
    <fill>
      <patternFill patternType="solid">
        <fgColor theme="0"/>
        <bgColor rgb="FFFFF2CC"/>
      </patternFill>
    </fill>
  </fills>
  <borders count="7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thin">
        <color indexed="64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theme="0" tint="-0.14996795556505021"/>
      </left>
      <right style="medium">
        <color theme="0" tint="-0.499984740745262"/>
      </right>
      <top style="thin">
        <color theme="0" tint="-0.14996795556505021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indexed="64"/>
      </top>
      <bottom style="thick">
        <color rgb="FF000000"/>
      </bottom>
      <diagonal/>
    </border>
    <border>
      <left style="thick">
        <color rgb="FF000000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medium">
        <color indexed="64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 style="thick">
        <color rgb="FF000000"/>
      </bottom>
      <diagonal/>
    </border>
    <border>
      <left style="medium">
        <color indexed="64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rgb="FF000000"/>
      </left>
      <right/>
      <top style="thick">
        <color rgb="FF000000"/>
      </top>
      <bottom/>
      <diagonal/>
    </border>
  </borders>
  <cellStyleXfs count="78">
    <xf numFmtId="0" fontId="0" fillId="0" borderId="0"/>
    <xf numFmtId="9" fontId="2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18" applyNumberFormat="0" applyFill="0" applyAlignment="0" applyProtection="0"/>
    <xf numFmtId="0" fontId="30" fillId="0" borderId="19" applyNumberFormat="0" applyFill="0" applyAlignment="0" applyProtection="0"/>
    <xf numFmtId="0" fontId="31" fillId="0" borderId="20" applyNumberFormat="0" applyFill="0" applyAlignment="0" applyProtection="0"/>
    <xf numFmtId="0" fontId="31" fillId="0" borderId="0" applyNumberFormat="0" applyFill="0" applyBorder="0" applyAlignment="0" applyProtection="0"/>
    <xf numFmtId="0" fontId="32" fillId="12" borderId="0" applyNumberFormat="0" applyBorder="0" applyAlignment="0" applyProtection="0"/>
    <xf numFmtId="0" fontId="33" fillId="13" borderId="0" applyNumberFormat="0" applyBorder="0" applyAlignment="0" applyProtection="0"/>
    <xf numFmtId="0" fontId="34" fillId="15" borderId="21" applyNumberFormat="0" applyAlignment="0" applyProtection="0"/>
    <xf numFmtId="0" fontId="35" fillId="16" borderId="22" applyNumberFormat="0" applyAlignment="0" applyProtection="0"/>
    <xf numFmtId="0" fontId="36" fillId="16" borderId="21" applyNumberFormat="0" applyAlignment="0" applyProtection="0"/>
    <xf numFmtId="0" fontId="37" fillId="0" borderId="23" applyNumberFormat="0" applyFill="0" applyAlignment="0" applyProtection="0"/>
    <xf numFmtId="0" fontId="38" fillId="17" borderId="24" applyNumberFormat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4" fillId="0" borderId="26" applyNumberFormat="0" applyFill="0" applyAlignment="0" applyProtection="0"/>
    <xf numFmtId="0" fontId="4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4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4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4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41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41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0" borderId="0"/>
    <xf numFmtId="0" fontId="41" fillId="22" borderId="0" applyNumberFormat="0" applyBorder="0" applyAlignment="0" applyProtection="0"/>
    <xf numFmtId="0" fontId="41" fillId="26" borderId="0" applyNumberFormat="0" applyBorder="0" applyAlignment="0" applyProtection="0"/>
    <xf numFmtId="0" fontId="41" fillId="30" borderId="0" applyNumberFormat="0" applyBorder="0" applyAlignment="0" applyProtection="0"/>
    <xf numFmtId="0" fontId="41" fillId="34" borderId="0" applyNumberFormat="0" applyBorder="0" applyAlignment="0" applyProtection="0"/>
    <xf numFmtId="0" fontId="41" fillId="38" borderId="0" applyNumberFormat="0" applyBorder="0" applyAlignment="0" applyProtection="0"/>
    <xf numFmtId="0" fontId="41" fillId="42" borderId="0" applyNumberFormat="0" applyBorder="0" applyAlignment="0" applyProtection="0"/>
    <xf numFmtId="0" fontId="42" fillId="43" borderId="0"/>
    <xf numFmtId="0" fontId="44" fillId="43" borderId="27">
      <alignment horizontal="right"/>
    </xf>
    <xf numFmtId="0" fontId="46" fillId="14" borderId="0" applyNumberFormat="0" applyBorder="0" applyAlignment="0" applyProtection="0"/>
    <xf numFmtId="0" fontId="2" fillId="18" borderId="25" applyNumberFormat="0" applyFont="0" applyAlignment="0" applyProtection="0"/>
    <xf numFmtId="0" fontId="45" fillId="0" borderId="0" applyNumberFormat="0" applyFill="0" applyBorder="0" applyAlignment="0" applyProtection="0"/>
    <xf numFmtId="0" fontId="1" fillId="0" borderId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0" fontId="1" fillId="0" borderId="0"/>
    <xf numFmtId="0" fontId="43" fillId="0" borderId="0"/>
    <xf numFmtId="0" fontId="69" fillId="0" borderId="0" applyNumberFormat="0" applyFill="0" applyBorder="0" applyAlignment="0" applyProtection="0">
      <alignment vertical="top"/>
      <protection locked="0"/>
    </xf>
    <xf numFmtId="0" fontId="41" fillId="51" borderId="0" applyNumberFormat="0" applyBorder="0" applyAlignment="0" applyProtection="0"/>
    <xf numFmtId="0" fontId="43" fillId="0" borderId="0"/>
    <xf numFmtId="0" fontId="1" fillId="0" borderId="0"/>
    <xf numFmtId="0" fontId="11" fillId="0" borderId="0"/>
    <xf numFmtId="0" fontId="47" fillId="0" borderId="0" applyNumberForma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0" fontId="1" fillId="18" borderId="25" applyNumberFormat="0" applyFont="0" applyAlignment="0" applyProtection="0"/>
    <xf numFmtId="165" fontId="1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42">
    <xf numFmtId="0" fontId="0" fillId="0" borderId="0" xfId="0" applyFont="1" applyAlignment="1"/>
    <xf numFmtId="0" fontId="4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7" fillId="0" borderId="0" xfId="0" applyFont="1" applyAlignment="1"/>
    <xf numFmtId="0" fontId="7" fillId="0" borderId="0" xfId="0" applyFont="1" applyAlignment="1"/>
    <xf numFmtId="0" fontId="7" fillId="3" borderId="1" xfId="0" applyFont="1" applyFill="1" applyBorder="1" applyAlignment="1"/>
    <xf numFmtId="0" fontId="7" fillId="3" borderId="1" xfId="0" applyFont="1" applyFill="1" applyBorder="1" applyAlignment="1">
      <alignment horizontal="right"/>
    </xf>
    <xf numFmtId="0" fontId="7" fillId="0" borderId="1" xfId="0" applyFont="1" applyBorder="1" applyAlignment="1"/>
    <xf numFmtId="0" fontId="7" fillId="0" borderId="1" xfId="0" applyFont="1" applyBorder="1" applyAlignment="1">
      <alignment horizontal="right"/>
    </xf>
    <xf numFmtId="0" fontId="13" fillId="0" borderId="1" xfId="0" applyFont="1" applyBorder="1" applyAlignment="1"/>
    <xf numFmtId="0" fontId="15" fillId="0" borderId="1" xfId="0" applyFont="1" applyBorder="1" applyAlignment="1"/>
    <xf numFmtId="10" fontId="7" fillId="0" borderId="1" xfId="0" applyNumberFormat="1" applyFont="1" applyBorder="1" applyAlignment="1">
      <alignment horizontal="right"/>
    </xf>
    <xf numFmtId="0" fontId="12" fillId="0" borderId="1" xfId="0" applyFont="1" applyBorder="1" applyAlignment="1"/>
    <xf numFmtId="0" fontId="8" fillId="0" borderId="1" xfId="0" applyFont="1" applyBorder="1" applyAlignment="1"/>
    <xf numFmtId="0" fontId="7" fillId="0" borderId="5" xfId="0" applyFont="1" applyBorder="1" applyAlignment="1"/>
    <xf numFmtId="4" fontId="7" fillId="0" borderId="1" xfId="0" applyNumberFormat="1" applyFont="1" applyBorder="1" applyAlignment="1">
      <alignment horizontal="right"/>
    </xf>
    <xf numFmtId="0" fontId="8" fillId="3" borderId="1" xfId="0" applyFont="1" applyFill="1" applyBorder="1" applyAlignment="1"/>
    <xf numFmtId="4" fontId="7" fillId="3" borderId="1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0" fontId="19" fillId="3" borderId="1" xfId="0" applyFont="1" applyFill="1" applyBorder="1" applyAlignment="1"/>
    <xf numFmtId="0" fontId="19" fillId="0" borderId="1" xfId="0" applyFont="1" applyBorder="1" applyAlignment="1"/>
    <xf numFmtId="0" fontId="7" fillId="0" borderId="5" xfId="0" applyFont="1" applyBorder="1" applyAlignment="1">
      <alignment horizontal="right"/>
    </xf>
    <xf numFmtId="0" fontId="8" fillId="4" borderId="0" xfId="0" applyFont="1" applyFill="1" applyAlignment="1"/>
    <xf numFmtId="0" fontId="7" fillId="4" borderId="0" xfId="0" applyFont="1" applyFill="1" applyAlignment="1"/>
    <xf numFmtId="0" fontId="7" fillId="4" borderId="0" xfId="0" applyFont="1" applyFill="1" applyAlignment="1">
      <alignment horizontal="right"/>
    </xf>
    <xf numFmtId="0" fontId="17" fillId="6" borderId="1" xfId="0" applyFont="1" applyFill="1" applyBorder="1" applyAlignment="1"/>
    <xf numFmtId="0" fontId="19" fillId="5" borderId="0" xfId="0" applyFont="1" applyFill="1" applyAlignment="1"/>
    <xf numFmtId="0" fontId="20" fillId="5" borderId="0" xfId="0" applyFont="1" applyFill="1" applyAlignment="1">
      <alignment horizontal="right"/>
    </xf>
    <xf numFmtId="0" fontId="20" fillId="5" borderId="0" xfId="0" applyFont="1" applyFill="1" applyAlignment="1"/>
    <xf numFmtId="0" fontId="12" fillId="3" borderId="1" xfId="0" applyFont="1" applyFill="1" applyBorder="1" applyAlignment="1"/>
    <xf numFmtId="0" fontId="12" fillId="3" borderId="1" xfId="0" applyFont="1" applyFill="1" applyBorder="1" applyAlignment="1">
      <alignment horizontal="right"/>
    </xf>
    <xf numFmtId="0" fontId="19" fillId="5" borderId="1" xfId="0" applyFont="1" applyFill="1" applyBorder="1" applyAlignment="1"/>
    <xf numFmtId="0" fontId="20" fillId="5" borderId="1" xfId="0" applyFont="1" applyFill="1" applyBorder="1" applyAlignment="1">
      <alignment horizontal="right"/>
    </xf>
    <xf numFmtId="0" fontId="8" fillId="5" borderId="1" xfId="0" applyFont="1" applyFill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21" fillId="5" borderId="0" xfId="0" applyFont="1" applyFill="1" applyAlignment="1"/>
    <xf numFmtId="0" fontId="20" fillId="5" borderId="0" xfId="0" applyFont="1" applyFill="1" applyAlignment="1"/>
    <xf numFmtId="0" fontId="20" fillId="5" borderId="0" xfId="0" applyFont="1" applyFill="1" applyAlignment="1">
      <alignment horizontal="right"/>
    </xf>
    <xf numFmtId="0" fontId="20" fillId="5" borderId="0" xfId="0" applyFont="1" applyFill="1" applyAlignment="1"/>
    <xf numFmtId="0" fontId="21" fillId="0" borderId="0" xfId="0" applyFont="1" applyAlignment="1"/>
    <xf numFmtId="0" fontId="20" fillId="0" borderId="1" xfId="0" applyFont="1" applyBorder="1" applyAlignment="1">
      <alignment horizontal="right"/>
    </xf>
    <xf numFmtId="0" fontId="20" fillId="0" borderId="1" xfId="0" applyFont="1" applyBorder="1" applyAlignment="1"/>
    <xf numFmtId="0" fontId="20" fillId="5" borderId="0" xfId="0" applyFont="1" applyFill="1" applyAlignment="1"/>
    <xf numFmtId="0" fontId="20" fillId="5" borderId="0" xfId="0" applyFont="1" applyFill="1" applyAlignment="1"/>
    <xf numFmtId="0" fontId="20" fillId="5" borderId="1" xfId="0" applyFont="1" applyFill="1" applyBorder="1" applyAlignment="1">
      <alignment horizontal="right"/>
    </xf>
    <xf numFmtId="0" fontId="20" fillId="5" borderId="1" xfId="0" applyFont="1" applyFill="1" applyBorder="1" applyAlignment="1"/>
    <xf numFmtId="0" fontId="20" fillId="5" borderId="1" xfId="0" applyFont="1" applyFill="1" applyBorder="1" applyAlignment="1"/>
    <xf numFmtId="10" fontId="7" fillId="0" borderId="6" xfId="0" applyNumberFormat="1" applyFont="1" applyBorder="1" applyAlignment="1">
      <alignment horizontal="right"/>
    </xf>
    <xf numFmtId="0" fontId="20" fillId="3" borderId="1" xfId="0" applyFont="1" applyFill="1" applyBorder="1" applyAlignment="1">
      <alignment horizontal="right"/>
    </xf>
    <xf numFmtId="0" fontId="19" fillId="0" borderId="5" xfId="0" applyFont="1" applyBorder="1" applyAlignment="1"/>
    <xf numFmtId="0" fontId="20" fillId="7" borderId="0" xfId="0" applyFont="1" applyFill="1" applyAlignment="1"/>
    <xf numFmtId="0" fontId="7" fillId="7" borderId="0" xfId="0" applyFont="1" applyFill="1" applyAlignment="1"/>
    <xf numFmtId="0" fontId="7" fillId="7" borderId="0" xfId="0" applyFont="1" applyFill="1" applyAlignment="1"/>
    <xf numFmtId="10" fontId="7" fillId="0" borderId="5" xfId="0" applyNumberFormat="1" applyFont="1" applyBorder="1" applyAlignment="1">
      <alignment horizontal="right"/>
    </xf>
    <xf numFmtId="0" fontId="20" fillId="7" borderId="0" xfId="0" applyFont="1" applyFill="1" applyAlignment="1">
      <alignment horizontal="right"/>
    </xf>
    <xf numFmtId="0" fontId="8" fillId="7" borderId="0" xfId="0" applyFont="1" applyFill="1" applyAlignment="1">
      <alignment horizontal="right"/>
    </xf>
    <xf numFmtId="0" fontId="12" fillId="0" borderId="5" xfId="0" applyFont="1" applyBorder="1" applyAlignment="1"/>
    <xf numFmtId="0" fontId="8" fillId="0" borderId="5" xfId="0" applyFont="1" applyBorder="1" applyAlignment="1"/>
    <xf numFmtId="0" fontId="19" fillId="3" borderId="5" xfId="0" applyFont="1" applyFill="1" applyBorder="1" applyAlignment="1"/>
    <xf numFmtId="0" fontId="12" fillId="3" borderId="0" xfId="0" applyFont="1" applyFill="1" applyAlignment="1"/>
    <xf numFmtId="0" fontId="7" fillId="3" borderId="5" xfId="0" applyFont="1" applyFill="1" applyBorder="1" applyAlignment="1"/>
    <xf numFmtId="0" fontId="12" fillId="3" borderId="5" xfId="0" applyFont="1" applyFill="1" applyBorder="1" applyAlignment="1">
      <alignment horizontal="right"/>
    </xf>
    <xf numFmtId="0" fontId="8" fillId="7" borderId="0" xfId="0" applyFont="1" applyFill="1" applyAlignment="1">
      <alignment horizontal="right"/>
    </xf>
    <xf numFmtId="0" fontId="0" fillId="0" borderId="0" xfId="0"/>
    <xf numFmtId="0" fontId="23" fillId="0" borderId="0" xfId="0" applyFont="1" applyAlignment="1"/>
    <xf numFmtId="0" fontId="19" fillId="0" borderId="0" xfId="0" applyFont="1" applyFill="1" applyBorder="1" applyAlignment="1"/>
    <xf numFmtId="10" fontId="0" fillId="0" borderId="0" xfId="0" applyNumberFormat="1" applyFont="1" applyAlignment="1"/>
    <xf numFmtId="0" fontId="24" fillId="0" borderId="0" xfId="0" applyFont="1"/>
    <xf numFmtId="0" fontId="0" fillId="8" borderId="0" xfId="0" applyFill="1"/>
    <xf numFmtId="4" fontId="0" fillId="8" borderId="0" xfId="0" applyNumberFormat="1" applyFill="1"/>
    <xf numFmtId="10" fontId="0" fillId="8" borderId="0" xfId="0" applyNumberFormat="1" applyFill="1"/>
    <xf numFmtId="0" fontId="24" fillId="9" borderId="0" xfId="0" applyFont="1" applyFill="1"/>
    <xf numFmtId="0" fontId="0" fillId="9" borderId="0" xfId="0" applyFill="1"/>
    <xf numFmtId="4" fontId="0" fillId="0" borderId="0" xfId="0" applyNumberFormat="1"/>
    <xf numFmtId="10" fontId="0" fillId="0" borderId="0" xfId="1" applyNumberFormat="1" applyFont="1"/>
    <xf numFmtId="0" fontId="23" fillId="0" borderId="0" xfId="0" applyFont="1"/>
    <xf numFmtId="0" fontId="0" fillId="10" borderId="0" xfId="0" applyFont="1" applyFill="1" applyAlignment="1"/>
    <xf numFmtId="0" fontId="27" fillId="0" borderId="0" xfId="2" applyAlignment="1"/>
    <xf numFmtId="0" fontId="0" fillId="0" borderId="0" xfId="0" applyFont="1" applyAlignment="1"/>
    <xf numFmtId="0" fontId="0" fillId="0" borderId="0" xfId="0" applyFont="1" applyAlignment="1"/>
    <xf numFmtId="0" fontId="28" fillId="10" borderId="0" xfId="0" applyFont="1" applyFill="1"/>
    <xf numFmtId="0" fontId="23" fillId="10" borderId="0" xfId="0" applyFont="1" applyFill="1" applyAlignment="1"/>
    <xf numFmtId="2" fontId="0" fillId="0" borderId="0" xfId="0" applyNumberFormat="1" applyFont="1" applyAlignment="1"/>
    <xf numFmtId="0" fontId="0" fillId="0" borderId="0" xfId="0" applyFont="1" applyAlignment="1"/>
    <xf numFmtId="0" fontId="0" fillId="0" borderId="13" xfId="0" applyBorder="1"/>
    <xf numFmtId="0" fontId="0" fillId="0" borderId="13" xfId="0" applyFont="1" applyBorder="1" applyAlignment="1"/>
    <xf numFmtId="0" fontId="0" fillId="0" borderId="13" xfId="0" applyFont="1" applyBorder="1"/>
    <xf numFmtId="10" fontId="0" fillId="0" borderId="13" xfId="1" applyNumberFormat="1" applyFont="1" applyBorder="1"/>
    <xf numFmtId="2" fontId="0" fillId="0" borderId="13" xfId="0" applyNumberFormat="1" applyBorder="1"/>
    <xf numFmtId="8" fontId="0" fillId="0" borderId="13" xfId="0" applyNumberFormat="1" applyBorder="1"/>
    <xf numFmtId="0" fontId="23" fillId="0" borderId="13" xfId="0" applyFont="1" applyBorder="1"/>
    <xf numFmtId="0" fontId="23" fillId="10" borderId="13" xfId="0" applyFont="1" applyFill="1" applyBorder="1" applyAlignment="1"/>
    <xf numFmtId="0" fontId="23" fillId="0" borderId="13" xfId="0" applyFont="1" applyBorder="1" applyAlignment="1"/>
    <xf numFmtId="2" fontId="0" fillId="0" borderId="13" xfId="0" applyNumberFormat="1" applyFont="1" applyBorder="1" applyAlignment="1"/>
    <xf numFmtId="0" fontId="23" fillId="11" borderId="13" xfId="0" applyFont="1" applyFill="1" applyBorder="1"/>
    <xf numFmtId="0" fontId="0" fillId="11" borderId="13" xfId="0" applyFont="1" applyFill="1" applyBorder="1" applyAlignment="1"/>
    <xf numFmtId="0" fontId="0" fillId="11" borderId="13" xfId="0" applyFill="1" applyBorder="1"/>
    <xf numFmtId="10" fontId="0" fillId="11" borderId="13" xfId="1" applyNumberFormat="1" applyFont="1" applyFill="1" applyBorder="1"/>
    <xf numFmtId="2" fontId="0" fillId="11" borderId="13" xfId="0" applyNumberFormat="1" applyFill="1" applyBorder="1"/>
    <xf numFmtId="0" fontId="24" fillId="0" borderId="13" xfId="0" applyFont="1" applyBorder="1"/>
    <xf numFmtId="0" fontId="0" fillId="0" borderId="0" xfId="0" applyFont="1" applyAlignment="1"/>
    <xf numFmtId="0" fontId="11" fillId="0" borderId="3" xfId="0" applyFont="1" applyBorder="1"/>
    <xf numFmtId="0" fontId="11" fillId="0" borderId="4" xfId="0" applyFont="1" applyBorder="1"/>
    <xf numFmtId="0" fontId="8" fillId="0" borderId="2" xfId="0" applyFont="1" applyBorder="1" applyAlignment="1"/>
    <xf numFmtId="0" fontId="12" fillId="0" borderId="2" xfId="0" applyFont="1" applyBorder="1" applyAlignment="1"/>
    <xf numFmtId="0" fontId="14" fillId="0" borderId="2" xfId="0" applyFont="1" applyBorder="1" applyAlignment="1"/>
    <xf numFmtId="0" fontId="13" fillId="0" borderId="2" xfId="0" applyFont="1" applyBorder="1" applyAlignment="1"/>
    <xf numFmtId="0" fontId="8" fillId="0" borderId="4" xfId="0" applyFont="1" applyBorder="1" applyAlignment="1"/>
    <xf numFmtId="4" fontId="20" fillId="5" borderId="1" xfId="0" applyNumberFormat="1" applyFont="1" applyFill="1" applyBorder="1" applyAlignment="1">
      <alignment horizontal="right"/>
    </xf>
    <xf numFmtId="43" fontId="0" fillId="0" borderId="13" xfId="0" applyNumberFormat="1" applyFont="1" applyBorder="1" applyAlignment="1"/>
    <xf numFmtId="0" fontId="1" fillId="0" borderId="0" xfId="62"/>
    <xf numFmtId="0" fontId="52" fillId="0" borderId="0" xfId="62" applyFont="1" applyFill="1" applyBorder="1" applyAlignment="1">
      <alignment horizontal="center" vertical="center"/>
    </xf>
    <xf numFmtId="0" fontId="50" fillId="0" borderId="0" xfId="62" applyFont="1" applyFill="1" applyBorder="1" applyAlignment="1">
      <alignment horizontal="centerContinuous" vertical="center"/>
    </xf>
    <xf numFmtId="0" fontId="49" fillId="0" borderId="0" xfId="62" applyFont="1" applyFill="1" applyBorder="1" applyAlignment="1">
      <alignment horizontal="center" vertical="center"/>
    </xf>
    <xf numFmtId="9" fontId="49" fillId="0" borderId="13" xfId="60" applyFont="1" applyFill="1" applyBorder="1" applyAlignment="1">
      <alignment horizontal="center" vertical="center"/>
    </xf>
    <xf numFmtId="9" fontId="49" fillId="0" borderId="16" xfId="60" applyFont="1" applyFill="1" applyBorder="1" applyAlignment="1">
      <alignment horizontal="center" vertical="center"/>
    </xf>
    <xf numFmtId="0" fontId="51" fillId="0" borderId="0" xfId="62" applyFont="1" applyFill="1" applyBorder="1" applyAlignment="1">
      <alignment horizontal="left" vertical="center"/>
    </xf>
    <xf numFmtId="0" fontId="59" fillId="0" borderId="0" xfId="62" applyFont="1" applyFill="1" applyBorder="1" applyAlignment="1">
      <alignment horizontal="left" vertical="center"/>
    </xf>
    <xf numFmtId="0" fontId="51" fillId="0" borderId="35" xfId="62" applyFont="1" applyFill="1" applyBorder="1" applyAlignment="1">
      <alignment horizontal="left" vertical="center"/>
    </xf>
    <xf numFmtId="0" fontId="51" fillId="0" borderId="17" xfId="62" applyFont="1" applyFill="1" applyBorder="1" applyAlignment="1">
      <alignment horizontal="left" vertical="center"/>
    </xf>
    <xf numFmtId="0" fontId="51" fillId="0" borderId="53" xfId="62" applyFont="1" applyFill="1" applyBorder="1" applyAlignment="1">
      <alignment horizontal="left" vertical="center"/>
    </xf>
    <xf numFmtId="0" fontId="51" fillId="0" borderId="51" xfId="62" applyFont="1" applyFill="1" applyBorder="1" applyAlignment="1">
      <alignment horizontal="left" vertical="center"/>
    </xf>
    <xf numFmtId="9" fontId="49" fillId="0" borderId="52" xfId="60" applyFont="1" applyFill="1" applyBorder="1" applyAlignment="1">
      <alignment horizontal="right" vertical="center"/>
    </xf>
    <xf numFmtId="0" fontId="51" fillId="0" borderId="14" xfId="62" applyFont="1" applyFill="1" applyBorder="1" applyAlignment="1">
      <alignment horizontal="left" vertical="center"/>
    </xf>
    <xf numFmtId="0" fontId="51" fillId="0" borderId="15" xfId="62" applyFont="1" applyFill="1" applyBorder="1" applyAlignment="1">
      <alignment horizontal="left" vertical="center"/>
    </xf>
    <xf numFmtId="9" fontId="49" fillId="0" borderId="13" xfId="60" applyFont="1" applyFill="1" applyBorder="1" applyAlignment="1">
      <alignment vertical="center"/>
    </xf>
    <xf numFmtId="0" fontId="51" fillId="0" borderId="17" xfId="62" applyFont="1" applyFill="1" applyBorder="1" applyAlignment="1">
      <alignment horizontal="right" vertical="center"/>
    </xf>
    <xf numFmtId="0" fontId="51" fillId="0" borderId="15" xfId="62" applyFont="1" applyFill="1" applyBorder="1" applyAlignment="1">
      <alignment horizontal="right" vertical="center"/>
    </xf>
    <xf numFmtId="1" fontId="49" fillId="0" borderId="16" xfId="77" applyNumberFormat="1" applyFont="1" applyFill="1" applyBorder="1" applyAlignment="1">
      <alignment horizontal="center" vertical="center"/>
    </xf>
    <xf numFmtId="0" fontId="62" fillId="0" borderId="0" xfId="62" applyFont="1" applyFill="1" applyBorder="1" applyAlignment="1">
      <alignment horizontal="left" vertical="center"/>
    </xf>
    <xf numFmtId="9" fontId="49" fillId="0" borderId="16" xfId="60" applyNumberFormat="1" applyFont="1" applyFill="1" applyBorder="1" applyAlignment="1">
      <alignment horizontal="center" vertical="center"/>
    </xf>
    <xf numFmtId="9" fontId="49" fillId="0" borderId="52" xfId="60" applyNumberFormat="1" applyFont="1" applyFill="1" applyBorder="1" applyAlignment="1">
      <alignment horizontal="center" vertical="center"/>
    </xf>
    <xf numFmtId="0" fontId="62" fillId="0" borderId="42" xfId="62" applyFont="1" applyFill="1" applyBorder="1" applyAlignment="1">
      <alignment horizontal="left" vertical="center"/>
    </xf>
    <xf numFmtId="0" fontId="51" fillId="0" borderId="42" xfId="62" applyFont="1" applyFill="1" applyBorder="1" applyAlignment="1">
      <alignment horizontal="left" vertical="center"/>
    </xf>
    <xf numFmtId="0" fontId="51" fillId="0" borderId="42" xfId="62" applyFont="1" applyFill="1" applyBorder="1" applyAlignment="1">
      <alignment horizontal="center" vertical="center"/>
    </xf>
    <xf numFmtId="9" fontId="49" fillId="0" borderId="13" xfId="60" applyNumberFormat="1" applyFont="1" applyFill="1" applyBorder="1" applyAlignment="1">
      <alignment horizontal="right" vertical="center"/>
    </xf>
    <xf numFmtId="0" fontId="52" fillId="0" borderId="36" xfId="62" applyFont="1" applyFill="1" applyBorder="1" applyAlignment="1">
      <alignment horizontal="center" vertical="center"/>
    </xf>
    <xf numFmtId="9" fontId="49" fillId="0" borderId="13" xfId="60" applyNumberFormat="1" applyFont="1" applyFill="1" applyBorder="1" applyAlignment="1">
      <alignment horizontal="center" vertical="center"/>
    </xf>
    <xf numFmtId="168" fontId="49" fillId="0" borderId="13" xfId="77" applyNumberFormat="1" applyFont="1" applyFill="1" applyBorder="1" applyAlignment="1">
      <alignment horizontal="right" vertical="center"/>
    </xf>
    <xf numFmtId="167" fontId="49" fillId="0" borderId="16" xfId="60" applyNumberFormat="1" applyFont="1" applyFill="1" applyBorder="1" applyAlignment="1">
      <alignment horizontal="center" vertical="center"/>
    </xf>
    <xf numFmtId="0" fontId="50" fillId="50" borderId="0" xfId="62" applyFont="1" applyFill="1" applyBorder="1" applyAlignment="1">
      <alignment horizontal="centerContinuous" vertical="center"/>
    </xf>
    <xf numFmtId="0" fontId="50" fillId="50" borderId="17" xfId="62" applyFont="1" applyFill="1" applyBorder="1" applyAlignment="1">
      <alignment horizontal="centerContinuous" vertical="center"/>
    </xf>
    <xf numFmtId="0" fontId="62" fillId="50" borderId="0" xfId="62" applyFont="1" applyFill="1" applyBorder="1" applyAlignment="1">
      <alignment horizontal="left" vertical="center"/>
    </xf>
    <xf numFmtId="0" fontId="51" fillId="50" borderId="0" xfId="62" applyFont="1" applyFill="1" applyBorder="1" applyAlignment="1">
      <alignment horizontal="left" vertical="center"/>
    </xf>
    <xf numFmtId="0" fontId="51" fillId="50" borderId="0" xfId="62" applyFont="1" applyFill="1" applyBorder="1" applyAlignment="1">
      <alignment horizontal="center" vertical="center"/>
    </xf>
    <xf numFmtId="0" fontId="51" fillId="50" borderId="0" xfId="62" applyFont="1" applyFill="1" applyBorder="1" applyAlignment="1">
      <alignment horizontal="centerContinuous" vertical="center"/>
    </xf>
    <xf numFmtId="0" fontId="50" fillId="50" borderId="0" xfId="62" applyFont="1" applyFill="1" applyBorder="1" applyAlignment="1">
      <alignment horizontal="right" vertical="center"/>
    </xf>
    <xf numFmtId="0" fontId="50" fillId="50" borderId="0" xfId="62" applyFont="1" applyFill="1" applyBorder="1" applyAlignment="1">
      <alignment horizontal="center" vertical="center"/>
    </xf>
    <xf numFmtId="168" fontId="48" fillId="45" borderId="29" xfId="62" quotePrefix="1" applyNumberFormat="1" applyFont="1" applyFill="1" applyBorder="1" applyAlignment="1">
      <alignment horizontal="center" vertical="center"/>
    </xf>
    <xf numFmtId="0" fontId="50" fillId="45" borderId="0" xfId="62" applyFont="1" applyFill="1" applyBorder="1" applyAlignment="1">
      <alignment horizontal="centerContinuous" vertical="center"/>
    </xf>
    <xf numFmtId="0" fontId="50" fillId="45" borderId="17" xfId="62" applyFont="1" applyFill="1" applyBorder="1" applyAlignment="1">
      <alignment horizontal="centerContinuous" vertical="center"/>
    </xf>
    <xf numFmtId="0" fontId="62" fillId="45" borderId="0" xfId="62" applyFont="1" applyFill="1" applyBorder="1" applyAlignment="1">
      <alignment horizontal="left" vertical="center"/>
    </xf>
    <xf numFmtId="0" fontId="51" fillId="45" borderId="0" xfId="62" applyFont="1" applyFill="1" applyBorder="1" applyAlignment="1">
      <alignment horizontal="left" vertical="center"/>
    </xf>
    <xf numFmtId="0" fontId="51" fillId="45" borderId="0" xfId="62" applyFont="1" applyFill="1" applyBorder="1" applyAlignment="1">
      <alignment horizontal="center" vertical="center"/>
    </xf>
    <xf numFmtId="0" fontId="51" fillId="45" borderId="0" xfId="62" applyFont="1" applyFill="1" applyBorder="1" applyAlignment="1">
      <alignment horizontal="centerContinuous" vertical="center"/>
    </xf>
    <xf numFmtId="0" fontId="50" fillId="45" borderId="0" xfId="62" applyFont="1" applyFill="1" applyBorder="1" applyAlignment="1">
      <alignment horizontal="right" vertical="center"/>
    </xf>
    <xf numFmtId="0" fontId="50" fillId="45" borderId="0" xfId="62" applyFont="1" applyFill="1" applyBorder="1" applyAlignment="1">
      <alignment horizontal="center" vertical="center"/>
    </xf>
    <xf numFmtId="9" fontId="54" fillId="48" borderId="55" xfId="60" applyFont="1" applyFill="1" applyBorder="1" applyAlignment="1">
      <alignment horizontal="center" vertical="center"/>
    </xf>
    <xf numFmtId="1" fontId="63" fillId="48" borderId="45" xfId="62" applyNumberFormat="1" applyFont="1" applyFill="1" applyBorder="1" applyAlignment="1">
      <alignment horizontal="center" vertical="center"/>
    </xf>
    <xf numFmtId="9" fontId="63" fillId="48" borderId="13" xfId="60" applyFont="1" applyFill="1" applyBorder="1" applyAlignment="1">
      <alignment horizontal="center" vertical="center"/>
    </xf>
    <xf numFmtId="9" fontId="54" fillId="48" borderId="13" xfId="60" applyFont="1" applyFill="1" applyBorder="1" applyAlignment="1">
      <alignment horizontal="center" vertical="center"/>
    </xf>
    <xf numFmtId="0" fontId="63" fillId="48" borderId="13" xfId="62" applyFont="1" applyFill="1" applyBorder="1" applyAlignment="1">
      <alignment horizontal="center" vertical="center"/>
    </xf>
    <xf numFmtId="2" fontId="63" fillId="48" borderId="13" xfId="60" applyNumberFormat="1" applyFont="1" applyFill="1" applyBorder="1" applyAlignment="1">
      <alignment horizontal="center" vertical="center"/>
    </xf>
    <xf numFmtId="2" fontId="54" fillId="48" borderId="13" xfId="60" applyNumberFormat="1" applyFont="1" applyFill="1" applyBorder="1" applyAlignment="1">
      <alignment horizontal="center" vertical="center"/>
    </xf>
    <xf numFmtId="0" fontId="50" fillId="45" borderId="34" xfId="62" applyFont="1" applyFill="1" applyBorder="1" applyAlignment="1">
      <alignment horizontal="centerContinuous" vertical="center"/>
    </xf>
    <xf numFmtId="0" fontId="65" fillId="45" borderId="34" xfId="62" applyFont="1" applyFill="1" applyBorder="1" applyAlignment="1">
      <alignment horizontal="centerContinuous" vertical="center"/>
    </xf>
    <xf numFmtId="0" fontId="51" fillId="45" borderId="40" xfId="62" applyFont="1" applyFill="1" applyBorder="1" applyAlignment="1">
      <alignment horizontal="left" vertical="center"/>
    </xf>
    <xf numFmtId="0" fontId="51" fillId="45" borderId="38" xfId="62" applyFont="1" applyFill="1" applyBorder="1" applyAlignment="1">
      <alignment horizontal="left" vertical="center"/>
    </xf>
    <xf numFmtId="0" fontId="51" fillId="45" borderId="41" xfId="62" applyFont="1" applyFill="1" applyBorder="1" applyAlignment="1">
      <alignment horizontal="left" vertical="center"/>
    </xf>
    <xf numFmtId="0" fontId="51" fillId="45" borderId="31" xfId="62" applyFont="1" applyFill="1" applyBorder="1" applyAlignment="1">
      <alignment horizontal="left" vertical="center"/>
    </xf>
    <xf numFmtId="0" fontId="52" fillId="45" borderId="30" xfId="62" applyFont="1" applyFill="1" applyBorder="1" applyAlignment="1">
      <alignment horizontal="center" vertical="center"/>
    </xf>
    <xf numFmtId="0" fontId="52" fillId="45" borderId="0" xfId="62" applyFont="1" applyFill="1" applyBorder="1" applyAlignment="1">
      <alignment horizontal="center" vertical="center"/>
    </xf>
    <xf numFmtId="0" fontId="52" fillId="45" borderId="34" xfId="62" applyFont="1" applyFill="1" applyBorder="1" applyAlignment="1">
      <alignment horizontal="center" vertical="center"/>
    </xf>
    <xf numFmtId="0" fontId="61" fillId="45" borderId="37" xfId="62" applyFont="1" applyFill="1" applyBorder="1" applyAlignment="1">
      <alignment horizontal="left" vertical="center"/>
    </xf>
    <xf numFmtId="0" fontId="52" fillId="45" borderId="31" xfId="62" applyFont="1" applyFill="1" applyBorder="1" applyAlignment="1">
      <alignment horizontal="center" vertical="center"/>
    </xf>
    <xf numFmtId="0" fontId="52" fillId="45" borderId="17" xfId="62" applyFont="1" applyFill="1" applyBorder="1" applyAlignment="1">
      <alignment horizontal="center" vertical="center"/>
    </xf>
    <xf numFmtId="0" fontId="62" fillId="45" borderId="39" xfId="62" applyFont="1" applyFill="1" applyBorder="1" applyAlignment="1">
      <alignment horizontal="left" vertical="center"/>
    </xf>
    <xf numFmtId="0" fontId="62" fillId="45" borderId="40" xfId="62" applyFont="1" applyFill="1" applyBorder="1" applyAlignment="1">
      <alignment horizontal="left" vertical="center"/>
    </xf>
    <xf numFmtId="0" fontId="51" fillId="45" borderId="15" xfId="62" applyFont="1" applyFill="1" applyBorder="1" applyAlignment="1">
      <alignment horizontal="left" vertical="center"/>
    </xf>
    <xf numFmtId="0" fontId="66" fillId="45" borderId="34" xfId="62" applyFont="1" applyFill="1" applyBorder="1" applyAlignment="1">
      <alignment horizontal="center" vertical="center"/>
    </xf>
    <xf numFmtId="0" fontId="67" fillId="45" borderId="34" xfId="62" applyFont="1" applyFill="1" applyBorder="1" applyAlignment="1">
      <alignment horizontal="right" vertical="center"/>
    </xf>
    <xf numFmtId="0" fontId="67" fillId="45" borderId="34" xfId="62" applyFont="1" applyFill="1" applyBorder="1" applyAlignment="1">
      <alignment horizontal="center" vertical="center"/>
    </xf>
    <xf numFmtId="0" fontId="51" fillId="44" borderId="46" xfId="62" applyFont="1" applyFill="1" applyBorder="1" applyAlignment="1">
      <alignment horizontal="center" vertical="center"/>
    </xf>
    <xf numFmtId="9" fontId="54" fillId="48" borderId="16" xfId="60" applyFont="1" applyFill="1" applyBorder="1" applyAlignment="1">
      <alignment horizontal="center" vertical="center"/>
    </xf>
    <xf numFmtId="1" fontId="63" fillId="48" borderId="13" xfId="62" applyNumberFormat="1" applyFont="1" applyFill="1" applyBorder="1" applyAlignment="1">
      <alignment horizontal="center" vertical="center"/>
    </xf>
    <xf numFmtId="168" fontId="49" fillId="48" borderId="13" xfId="77" applyNumberFormat="1" applyFont="1" applyFill="1" applyBorder="1" applyAlignment="1">
      <alignment horizontal="right" vertical="center"/>
    </xf>
    <xf numFmtId="0" fontId="48" fillId="0" borderId="0" xfId="62" applyFont="1" applyBorder="1" applyAlignment="1">
      <alignment vertical="center"/>
    </xf>
    <xf numFmtId="168" fontId="57" fillId="0" borderId="0" xfId="62" applyNumberFormat="1" applyFont="1" applyFill="1" applyBorder="1" applyAlignment="1">
      <alignment horizontal="right" vertical="center"/>
    </xf>
    <xf numFmtId="168" fontId="57" fillId="0" borderId="51" xfId="62" applyNumberFormat="1" applyFont="1" applyFill="1" applyBorder="1" applyAlignment="1">
      <alignment horizontal="right" vertical="center"/>
    </xf>
    <xf numFmtId="0" fontId="48" fillId="0" borderId="0" xfId="62" applyFont="1" applyFill="1" applyAlignment="1">
      <alignment vertical="center"/>
    </xf>
    <xf numFmtId="0" fontId="48" fillId="0" borderId="0" xfId="62" applyFont="1" applyFill="1" applyBorder="1" applyAlignment="1">
      <alignment vertical="center"/>
    </xf>
    <xf numFmtId="0" fontId="53" fillId="0" borderId="0" xfId="62" applyFont="1" applyFill="1" applyBorder="1" applyAlignment="1">
      <alignment vertical="center"/>
    </xf>
    <xf numFmtId="0" fontId="53" fillId="0" borderId="0" xfId="62" applyFont="1" applyAlignment="1">
      <alignment vertical="center"/>
    </xf>
    <xf numFmtId="0" fontId="49" fillId="0" borderId="0" xfId="62" applyFont="1" applyAlignment="1">
      <alignment vertical="center"/>
    </xf>
    <xf numFmtId="0" fontId="48" fillId="0" borderId="28" xfId="62" applyFont="1" applyBorder="1" applyAlignment="1">
      <alignment vertical="center"/>
    </xf>
    <xf numFmtId="49" fontId="49" fillId="0" borderId="0" xfId="62" applyNumberFormat="1" applyFont="1" applyBorder="1" applyAlignment="1">
      <alignment horizontal="center" vertical="center"/>
    </xf>
    <xf numFmtId="0" fontId="49" fillId="0" borderId="0" xfId="62" applyFont="1" applyBorder="1" applyAlignment="1">
      <alignment horizontal="center" vertical="center"/>
    </xf>
    <xf numFmtId="0" fontId="48" fillId="0" borderId="29" xfId="62" applyFont="1" applyBorder="1" applyAlignment="1">
      <alignment vertical="center"/>
    </xf>
    <xf numFmtId="0" fontId="48" fillId="0" borderId="0" xfId="62" applyFont="1" applyBorder="1" applyAlignment="1">
      <alignment horizontal="center" vertical="center"/>
    </xf>
    <xf numFmtId="0" fontId="56" fillId="0" borderId="0" xfId="62" applyFont="1" applyBorder="1" applyAlignment="1">
      <alignment horizontal="center" vertical="center"/>
    </xf>
    <xf numFmtId="0" fontId="56" fillId="0" borderId="0" xfId="62" applyFont="1" applyBorder="1" applyAlignment="1">
      <alignment vertical="center"/>
    </xf>
    <xf numFmtId="0" fontId="53" fillId="0" borderId="0" xfId="62" applyFont="1" applyFill="1" applyBorder="1" applyAlignment="1">
      <alignment horizontal="left" vertical="center"/>
    </xf>
    <xf numFmtId="0" fontId="57" fillId="0" borderId="0" xfId="62" applyFont="1" applyFill="1" applyBorder="1" applyAlignment="1">
      <alignment horizontal="left" vertical="center"/>
    </xf>
    <xf numFmtId="0" fontId="49" fillId="0" borderId="0" xfId="62" applyFont="1" applyFill="1" applyBorder="1" applyAlignment="1">
      <alignment horizontal="left" vertical="center"/>
    </xf>
    <xf numFmtId="168" fontId="58" fillId="0" borderId="0" xfId="62" applyNumberFormat="1" applyFont="1" applyFill="1" applyBorder="1" applyAlignment="1">
      <alignment horizontal="right" vertical="center"/>
    </xf>
    <xf numFmtId="0" fontId="57" fillId="0" borderId="0" xfId="62" applyFont="1" applyAlignment="1">
      <alignment vertical="center"/>
    </xf>
    <xf numFmtId="0" fontId="48" fillId="0" borderId="0" xfId="62" applyFont="1" applyFill="1" applyBorder="1" applyAlignment="1">
      <alignment horizontal="left" vertical="center"/>
    </xf>
    <xf numFmtId="167" fontId="48" fillId="0" borderId="0" xfId="60" applyNumberFormat="1" applyFont="1" applyFill="1" applyBorder="1" applyAlignment="1">
      <alignment horizontal="right" vertical="center"/>
    </xf>
    <xf numFmtId="9" fontId="48" fillId="0" borderId="0" xfId="60" applyFont="1" applyFill="1" applyBorder="1" applyAlignment="1">
      <alignment horizontal="right" vertical="center"/>
    </xf>
    <xf numFmtId="168" fontId="48" fillId="0" borderId="0" xfId="62" applyNumberFormat="1" applyFont="1" applyFill="1" applyBorder="1" applyAlignment="1">
      <alignment horizontal="center" vertical="center"/>
    </xf>
    <xf numFmtId="0" fontId="53" fillId="50" borderId="33" xfId="62" applyFont="1" applyFill="1" applyBorder="1" applyAlignment="1">
      <alignment horizontal="center" vertical="center"/>
    </xf>
    <xf numFmtId="167" fontId="60" fillId="0" borderId="0" xfId="60" applyNumberFormat="1" applyFont="1" applyFill="1" applyBorder="1" applyAlignment="1">
      <alignment horizontal="right" vertical="center"/>
    </xf>
    <xf numFmtId="167" fontId="60" fillId="45" borderId="0" xfId="60" applyNumberFormat="1" applyFont="1" applyFill="1" applyBorder="1" applyAlignment="1">
      <alignment horizontal="right" vertical="center"/>
    </xf>
    <xf numFmtId="168" fontId="48" fillId="45" borderId="40" xfId="62" quotePrefix="1" applyNumberFormat="1" applyFont="1" applyFill="1" applyBorder="1" applyAlignment="1">
      <alignment horizontal="center" vertical="center"/>
    </xf>
    <xf numFmtId="1" fontId="49" fillId="45" borderId="40" xfId="77" applyNumberFormat="1" applyFont="1" applyFill="1" applyBorder="1" applyAlignment="1">
      <alignment horizontal="center" vertical="center"/>
    </xf>
    <xf numFmtId="167" fontId="49" fillId="45" borderId="40" xfId="60" applyNumberFormat="1" applyFont="1" applyFill="1" applyBorder="1" applyAlignment="1">
      <alignment horizontal="right" vertical="center"/>
    </xf>
    <xf numFmtId="168" fontId="48" fillId="0" borderId="0" xfId="62" quotePrefix="1" applyNumberFormat="1" applyFont="1" applyFill="1" applyBorder="1" applyAlignment="1">
      <alignment horizontal="center" vertical="center"/>
    </xf>
    <xf numFmtId="1" fontId="49" fillId="0" borderId="0" xfId="77" applyNumberFormat="1" applyFont="1" applyFill="1" applyBorder="1" applyAlignment="1">
      <alignment horizontal="center" vertical="center"/>
    </xf>
    <xf numFmtId="167" fontId="49" fillId="0" borderId="0" xfId="60" applyNumberFormat="1" applyFont="1" applyFill="1" applyBorder="1" applyAlignment="1">
      <alignment horizontal="right" vertical="center"/>
    </xf>
    <xf numFmtId="168" fontId="49" fillId="0" borderId="0" xfId="62" applyNumberFormat="1" applyFont="1" applyFill="1" applyBorder="1" applyAlignment="1">
      <alignment horizontal="right" vertical="center"/>
    </xf>
    <xf numFmtId="9" fontId="49" fillId="0" borderId="17" xfId="60" applyFont="1" applyFill="1" applyBorder="1" applyAlignment="1">
      <alignment horizontal="right" vertical="center"/>
    </xf>
    <xf numFmtId="0" fontId="53" fillId="0" borderId="51" xfId="62" applyFont="1" applyFill="1" applyBorder="1" applyAlignment="1">
      <alignment vertical="center"/>
    </xf>
    <xf numFmtId="9" fontId="48" fillId="0" borderId="0" xfId="60" applyFont="1" applyAlignment="1">
      <alignment vertical="center"/>
    </xf>
    <xf numFmtId="9" fontId="48" fillId="0" borderId="0" xfId="60" applyFont="1" applyFill="1" applyBorder="1" applyAlignment="1">
      <alignment horizontal="left" vertical="center"/>
    </xf>
    <xf numFmtId="9" fontId="49" fillId="0" borderId="0" xfId="60" applyFont="1" applyFill="1" applyBorder="1" applyAlignment="1">
      <alignment horizontal="right" vertical="center"/>
    </xf>
    <xf numFmtId="9" fontId="49" fillId="0" borderId="0" xfId="60" applyFont="1" applyAlignment="1">
      <alignment vertical="center"/>
    </xf>
    <xf numFmtId="9" fontId="48" fillId="50" borderId="30" xfId="60" applyFont="1" applyFill="1" applyBorder="1" applyAlignment="1">
      <alignment horizontal="left" vertical="center"/>
    </xf>
    <xf numFmtId="0" fontId="53" fillId="50" borderId="0" xfId="62" applyFont="1" applyFill="1" applyBorder="1" applyAlignment="1">
      <alignment horizontal="center" vertical="center"/>
    </xf>
    <xf numFmtId="9" fontId="49" fillId="50" borderId="34" xfId="60" applyFont="1" applyFill="1" applyBorder="1" applyAlignment="1">
      <alignment horizontal="right" vertical="center"/>
    </xf>
    <xf numFmtId="0" fontId="64" fillId="50" borderId="34" xfId="60" applyNumberFormat="1" applyFont="1" applyFill="1" applyBorder="1" applyAlignment="1">
      <alignment horizontal="right" vertical="center"/>
    </xf>
    <xf numFmtId="168" fontId="58" fillId="50" borderId="37" xfId="62" applyNumberFormat="1" applyFont="1" applyFill="1" applyBorder="1" applyAlignment="1">
      <alignment horizontal="right" vertical="center"/>
    </xf>
    <xf numFmtId="9" fontId="48" fillId="50" borderId="31" xfId="60" applyFont="1" applyFill="1" applyBorder="1" applyAlignment="1">
      <alignment horizontal="left" vertical="center"/>
    </xf>
    <xf numFmtId="168" fontId="58" fillId="50" borderId="38" xfId="62" applyNumberFormat="1" applyFont="1" applyFill="1" applyBorder="1" applyAlignment="1">
      <alignment horizontal="right" vertical="center"/>
    </xf>
    <xf numFmtId="9" fontId="48" fillId="50" borderId="0" xfId="60" applyFont="1" applyFill="1" applyBorder="1" applyAlignment="1">
      <alignment horizontal="left" vertical="center"/>
    </xf>
    <xf numFmtId="9" fontId="48" fillId="50" borderId="38" xfId="60" applyFont="1" applyFill="1" applyBorder="1" applyAlignment="1">
      <alignment horizontal="left" vertical="center"/>
    </xf>
    <xf numFmtId="9" fontId="49" fillId="50" borderId="0" xfId="60" applyFont="1" applyFill="1" applyBorder="1" applyAlignment="1">
      <alignment vertical="center"/>
    </xf>
    <xf numFmtId="167" fontId="60" fillId="50" borderId="0" xfId="60" applyNumberFormat="1" applyFont="1" applyFill="1" applyBorder="1" applyAlignment="1">
      <alignment horizontal="right" vertical="center"/>
    </xf>
    <xf numFmtId="168" fontId="48" fillId="50" borderId="0" xfId="62" quotePrefix="1" applyNumberFormat="1" applyFont="1" applyFill="1" applyBorder="1" applyAlignment="1">
      <alignment horizontal="center" vertical="center"/>
    </xf>
    <xf numFmtId="1" fontId="49" fillId="50" borderId="0" xfId="77" applyNumberFormat="1" applyFont="1" applyFill="1" applyBorder="1" applyAlignment="1">
      <alignment horizontal="center" vertical="center"/>
    </xf>
    <xf numFmtId="168" fontId="58" fillId="50" borderId="41" xfId="62" applyNumberFormat="1" applyFont="1" applyFill="1" applyBorder="1" applyAlignment="1">
      <alignment horizontal="right" vertical="center"/>
    </xf>
    <xf numFmtId="9" fontId="48" fillId="0" borderId="42" xfId="60" applyFont="1" applyFill="1" applyBorder="1" applyAlignment="1">
      <alignment horizontal="left" vertical="center"/>
    </xf>
    <xf numFmtId="168" fontId="48" fillId="0" borderId="42" xfId="62" quotePrefix="1" applyNumberFormat="1" applyFont="1" applyFill="1" applyBorder="1" applyAlignment="1">
      <alignment horizontal="center" vertical="center"/>
    </xf>
    <xf numFmtId="1" fontId="49" fillId="0" borderId="42" xfId="77" applyNumberFormat="1" applyFont="1" applyFill="1" applyBorder="1" applyAlignment="1">
      <alignment horizontal="center" vertical="center"/>
    </xf>
    <xf numFmtId="168" fontId="58" fillId="0" borderId="42" xfId="62" applyNumberFormat="1" applyFont="1" applyFill="1" applyBorder="1" applyAlignment="1">
      <alignment horizontal="right" vertical="center"/>
    </xf>
    <xf numFmtId="168" fontId="49" fillId="0" borderId="0" xfId="77" applyNumberFormat="1" applyFont="1" applyFill="1" applyBorder="1" applyAlignment="1">
      <alignment horizontal="right" vertical="center"/>
    </xf>
    <xf numFmtId="9" fontId="48" fillId="0" borderId="0" xfId="60" applyFont="1" applyFill="1" applyBorder="1" applyAlignment="1">
      <alignment vertical="center"/>
    </xf>
    <xf numFmtId="9" fontId="48" fillId="45" borderId="30" xfId="60" applyFont="1" applyFill="1" applyBorder="1" applyAlignment="1">
      <alignment horizontal="left" vertical="center"/>
    </xf>
    <xf numFmtId="9" fontId="48" fillId="45" borderId="0" xfId="60" applyFont="1" applyFill="1" applyBorder="1" applyAlignment="1">
      <alignment horizontal="left" vertical="center"/>
    </xf>
    <xf numFmtId="9" fontId="49" fillId="45" borderId="34" xfId="60" applyFont="1" applyFill="1" applyBorder="1" applyAlignment="1">
      <alignment horizontal="right" vertical="center"/>
    </xf>
    <xf numFmtId="0" fontId="64" fillId="45" borderId="34" xfId="60" applyNumberFormat="1" applyFont="1" applyFill="1" applyBorder="1" applyAlignment="1">
      <alignment horizontal="right" vertical="center"/>
    </xf>
    <xf numFmtId="168" fontId="58" fillId="45" borderId="37" xfId="62" applyNumberFormat="1" applyFont="1" applyFill="1" applyBorder="1" applyAlignment="1">
      <alignment horizontal="right" vertical="center"/>
    </xf>
    <xf numFmtId="9" fontId="48" fillId="45" borderId="31" xfId="60" applyFont="1" applyFill="1" applyBorder="1" applyAlignment="1">
      <alignment horizontal="left" vertical="center"/>
    </xf>
    <xf numFmtId="168" fontId="58" fillId="45" borderId="38" xfId="62" applyNumberFormat="1" applyFont="1" applyFill="1" applyBorder="1" applyAlignment="1">
      <alignment horizontal="right" vertical="center"/>
    </xf>
    <xf numFmtId="168" fontId="57" fillId="45" borderId="38" xfId="62" applyNumberFormat="1" applyFont="1" applyFill="1" applyBorder="1" applyAlignment="1">
      <alignment horizontal="right" vertical="center"/>
    </xf>
    <xf numFmtId="9" fontId="49" fillId="45" borderId="0" xfId="60" applyFont="1" applyFill="1" applyBorder="1" applyAlignment="1">
      <alignment vertical="center"/>
    </xf>
    <xf numFmtId="167" fontId="49" fillId="45" borderId="0" xfId="60" applyNumberFormat="1" applyFont="1" applyFill="1" applyBorder="1" applyAlignment="1">
      <alignment horizontal="right" vertical="center"/>
    </xf>
    <xf numFmtId="168" fontId="48" fillId="45" borderId="0" xfId="62" quotePrefix="1" applyNumberFormat="1" applyFont="1" applyFill="1" applyBorder="1" applyAlignment="1">
      <alignment horizontal="center" vertical="center"/>
    </xf>
    <xf numFmtId="1" fontId="49" fillId="45" borderId="0" xfId="77" applyNumberFormat="1" applyFont="1" applyFill="1" applyBorder="1" applyAlignment="1">
      <alignment horizontal="center" vertical="center"/>
    </xf>
    <xf numFmtId="168" fontId="57" fillId="45" borderId="41" xfId="62" applyNumberFormat="1" applyFont="1" applyFill="1" applyBorder="1" applyAlignment="1">
      <alignment horizontal="right" vertical="center"/>
    </xf>
    <xf numFmtId="168" fontId="57" fillId="0" borderId="42" xfId="62" applyNumberFormat="1" applyFont="1" applyFill="1" applyBorder="1" applyAlignment="1">
      <alignment horizontal="right" vertical="center"/>
    </xf>
    <xf numFmtId="9" fontId="48" fillId="0" borderId="17" xfId="60" applyFont="1" applyFill="1" applyBorder="1" applyAlignment="1">
      <alignment horizontal="left" vertical="center"/>
    </xf>
    <xf numFmtId="0" fontId="48" fillId="0" borderId="0" xfId="62" quotePrefix="1" applyNumberFormat="1" applyFont="1" applyFill="1" applyBorder="1" applyAlignment="1">
      <alignment horizontal="left" vertical="center"/>
    </xf>
    <xf numFmtId="168" fontId="57" fillId="45" borderId="37" xfId="62" applyNumberFormat="1" applyFont="1" applyFill="1" applyBorder="1" applyAlignment="1">
      <alignment horizontal="right" vertical="center"/>
    </xf>
    <xf numFmtId="167" fontId="49" fillId="0" borderId="42" xfId="60" applyNumberFormat="1" applyFont="1" applyFill="1" applyBorder="1" applyAlignment="1">
      <alignment horizontal="right" vertical="center"/>
    </xf>
    <xf numFmtId="0" fontId="48" fillId="0" borderId="0" xfId="77" applyNumberFormat="1" applyFont="1" applyFill="1" applyBorder="1" applyAlignment="1">
      <alignment horizontal="left" vertical="center"/>
    </xf>
    <xf numFmtId="0" fontId="48" fillId="0" borderId="0" xfId="62" applyNumberFormat="1" applyFont="1" applyFill="1" applyBorder="1" applyAlignment="1">
      <alignment horizontal="left" vertical="center"/>
    </xf>
    <xf numFmtId="9" fontId="49" fillId="0" borderId="0" xfId="60" applyFont="1" applyFill="1" applyAlignment="1">
      <alignment vertical="center"/>
    </xf>
    <xf numFmtId="9" fontId="48" fillId="45" borderId="39" xfId="60" applyFont="1" applyFill="1" applyBorder="1" applyAlignment="1">
      <alignment horizontal="left" vertical="center"/>
    </xf>
    <xf numFmtId="9" fontId="48" fillId="45" borderId="40" xfId="60" applyFont="1" applyFill="1" applyBorder="1" applyAlignment="1">
      <alignment horizontal="left" vertical="center"/>
    </xf>
    <xf numFmtId="9" fontId="49" fillId="45" borderId="40" xfId="60" applyFont="1" applyFill="1" applyBorder="1" applyAlignment="1">
      <alignment horizontal="right" vertical="center"/>
    </xf>
    <xf numFmtId="9" fontId="49" fillId="0" borderId="42" xfId="60" applyFont="1" applyFill="1" applyBorder="1" applyAlignment="1">
      <alignment horizontal="right" vertical="center"/>
    </xf>
    <xf numFmtId="0" fontId="53" fillId="0" borderId="0" xfId="77" applyNumberFormat="1" applyFont="1" applyFill="1" applyBorder="1" applyAlignment="1">
      <alignment vertical="center"/>
    </xf>
    <xf numFmtId="0" fontId="53" fillId="45" borderId="31" xfId="77" applyNumberFormat="1" applyFont="1" applyFill="1" applyBorder="1" applyAlignment="1">
      <alignment vertical="center"/>
    </xf>
    <xf numFmtId="0" fontId="53" fillId="45" borderId="51" xfId="77" applyNumberFormat="1" applyFont="1" applyFill="1" applyBorder="1" applyAlignment="1">
      <alignment vertical="center"/>
    </xf>
    <xf numFmtId="168" fontId="57" fillId="45" borderId="0" xfId="62" applyNumberFormat="1" applyFont="1" applyFill="1" applyBorder="1" applyAlignment="1">
      <alignment horizontal="right" vertical="center"/>
    </xf>
    <xf numFmtId="0" fontId="53" fillId="0" borderId="42" xfId="77" applyNumberFormat="1" applyFont="1" applyFill="1" applyBorder="1" applyAlignment="1">
      <alignment vertical="center"/>
    </xf>
    <xf numFmtId="168" fontId="49" fillId="0" borderId="42" xfId="62" applyNumberFormat="1" applyFont="1" applyFill="1" applyBorder="1" applyAlignment="1">
      <alignment horizontal="right" vertical="center"/>
    </xf>
    <xf numFmtId="0" fontId="48" fillId="0" borderId="0" xfId="77" applyNumberFormat="1" applyFont="1" applyFill="1" applyBorder="1" applyAlignment="1">
      <alignment vertical="center"/>
    </xf>
    <xf numFmtId="173" fontId="49" fillId="0" borderId="0" xfId="62" applyNumberFormat="1" applyFont="1" applyFill="1" applyBorder="1" applyAlignment="1">
      <alignment horizontal="right" vertical="center"/>
    </xf>
    <xf numFmtId="9" fontId="48" fillId="0" borderId="0" xfId="60" applyFont="1" applyBorder="1" applyAlignment="1">
      <alignment vertical="center"/>
    </xf>
    <xf numFmtId="9" fontId="48" fillId="45" borderId="0" xfId="60" applyFont="1" applyFill="1" applyBorder="1" applyAlignment="1">
      <alignment vertical="center"/>
    </xf>
    <xf numFmtId="9" fontId="48" fillId="45" borderId="34" xfId="60" applyFont="1" applyFill="1" applyBorder="1" applyAlignment="1">
      <alignment vertical="center"/>
    </xf>
    <xf numFmtId="0" fontId="53" fillId="45" borderId="39" xfId="77" applyNumberFormat="1" applyFont="1" applyFill="1" applyBorder="1" applyAlignment="1">
      <alignment vertical="center"/>
    </xf>
    <xf numFmtId="0" fontId="53" fillId="45" borderId="43" xfId="77" applyNumberFormat="1" applyFont="1" applyFill="1" applyBorder="1" applyAlignment="1">
      <alignment vertical="center"/>
    </xf>
    <xf numFmtId="168" fontId="57" fillId="45" borderId="40" xfId="62" applyNumberFormat="1" applyFont="1" applyFill="1" applyBorder="1" applyAlignment="1">
      <alignment horizontal="right" vertical="center"/>
    </xf>
    <xf numFmtId="164" fontId="54" fillId="48" borderId="54" xfId="77" applyNumberFormat="1" applyFont="1" applyFill="1" applyBorder="1" applyAlignment="1">
      <alignment vertical="center"/>
    </xf>
    <xf numFmtId="9" fontId="49" fillId="45" borderId="40" xfId="60" applyFont="1" applyFill="1" applyBorder="1" applyAlignment="1">
      <alignment vertical="center"/>
    </xf>
    <xf numFmtId="9" fontId="48" fillId="0" borderId="44" xfId="60" applyFont="1" applyFill="1" applyBorder="1" applyAlignment="1">
      <alignment horizontal="left" vertical="center"/>
    </xf>
    <xf numFmtId="9" fontId="49" fillId="0" borderId="17" xfId="60" applyFont="1" applyFill="1" applyBorder="1" applyAlignment="1">
      <alignment vertical="center"/>
    </xf>
    <xf numFmtId="168" fontId="57" fillId="0" borderId="17" xfId="62" applyNumberFormat="1" applyFont="1" applyFill="1" applyBorder="1" applyAlignment="1">
      <alignment horizontal="right" vertical="center"/>
    </xf>
    <xf numFmtId="0" fontId="53" fillId="0" borderId="51" xfId="77" applyNumberFormat="1" applyFont="1" applyFill="1" applyBorder="1" applyAlignment="1">
      <alignment vertical="center"/>
    </xf>
    <xf numFmtId="9" fontId="53" fillId="0" borderId="0" xfId="60" applyFont="1" applyFill="1" applyBorder="1" applyAlignment="1">
      <alignment vertical="center"/>
    </xf>
    <xf numFmtId="9" fontId="53" fillId="45" borderId="30" xfId="60" applyFont="1" applyFill="1" applyBorder="1" applyAlignment="1">
      <alignment vertical="center"/>
    </xf>
    <xf numFmtId="0" fontId="48" fillId="45" borderId="0" xfId="62" applyFont="1" applyFill="1" applyBorder="1" applyAlignment="1">
      <alignment horizontal="center" vertical="center"/>
    </xf>
    <xf numFmtId="0" fontId="53" fillId="0" borderId="0" xfId="77" applyNumberFormat="1" applyFont="1" applyBorder="1" applyAlignment="1">
      <alignment vertical="center"/>
    </xf>
    <xf numFmtId="14" fontId="53" fillId="0" borderId="0" xfId="62" applyNumberFormat="1" applyFont="1" applyBorder="1" applyAlignment="1">
      <alignment vertical="center"/>
    </xf>
    <xf numFmtId="9" fontId="49" fillId="0" borderId="0" xfId="60" applyFont="1" applyBorder="1" applyAlignment="1">
      <alignment vertical="center"/>
    </xf>
    <xf numFmtId="9" fontId="49" fillId="0" borderId="0" xfId="60" applyFont="1" applyFill="1" applyBorder="1" applyAlignment="1">
      <alignment vertical="center"/>
    </xf>
    <xf numFmtId="165" fontId="49" fillId="0" borderId="0" xfId="77" applyFont="1" applyFill="1" applyBorder="1" applyAlignment="1">
      <alignment horizontal="right" vertical="center"/>
    </xf>
    <xf numFmtId="165" fontId="49" fillId="0" borderId="0" xfId="77" applyFont="1" applyFill="1" applyBorder="1" applyAlignment="1">
      <alignment vertical="center"/>
    </xf>
    <xf numFmtId="0" fontId="53" fillId="0" borderId="15" xfId="77" applyNumberFormat="1" applyFont="1" applyFill="1" applyBorder="1" applyAlignment="1">
      <alignment vertical="center"/>
    </xf>
    <xf numFmtId="172" fontId="53" fillId="0" borderId="15" xfId="77" applyNumberFormat="1" applyFont="1" applyFill="1" applyBorder="1" applyAlignment="1">
      <alignment vertical="center"/>
    </xf>
    <xf numFmtId="168" fontId="57" fillId="0" borderId="15" xfId="77" applyNumberFormat="1" applyFont="1" applyFill="1" applyBorder="1" applyAlignment="1">
      <alignment horizontal="right" vertical="center"/>
    </xf>
    <xf numFmtId="172" fontId="57" fillId="0" borderId="15" xfId="77" applyNumberFormat="1" applyFont="1" applyFill="1" applyBorder="1" applyAlignment="1">
      <alignment vertical="center"/>
    </xf>
    <xf numFmtId="0" fontId="48" fillId="0" borderId="15" xfId="62" applyFont="1" applyFill="1" applyBorder="1" applyAlignment="1">
      <alignment vertical="center"/>
    </xf>
    <xf numFmtId="168" fontId="48" fillId="0" borderId="15" xfId="62" applyNumberFormat="1" applyFont="1" applyFill="1" applyBorder="1" applyAlignment="1">
      <alignment horizontal="center" vertical="center"/>
    </xf>
    <xf numFmtId="168" fontId="49" fillId="0" borderId="17" xfId="77" applyNumberFormat="1" applyFont="1" applyFill="1" applyBorder="1" applyAlignment="1">
      <alignment horizontal="right" vertical="center"/>
    </xf>
    <xf numFmtId="168" fontId="57" fillId="0" borderId="0" xfId="77" applyNumberFormat="1" applyFont="1" applyFill="1" applyBorder="1" applyAlignment="1">
      <alignment vertical="center"/>
    </xf>
    <xf numFmtId="0" fontId="53" fillId="0" borderId="17" xfId="62" applyFont="1" applyBorder="1" applyAlignment="1">
      <alignment vertical="center"/>
    </xf>
    <xf numFmtId="9" fontId="48" fillId="0" borderId="17" xfId="60" applyFont="1" applyBorder="1" applyAlignment="1">
      <alignment vertical="center"/>
    </xf>
    <xf numFmtId="168" fontId="53" fillId="0" borderId="17" xfId="77" applyNumberFormat="1" applyFont="1" applyFill="1" applyBorder="1" applyAlignment="1">
      <alignment vertical="center"/>
    </xf>
    <xf numFmtId="0" fontId="53" fillId="50" borderId="47" xfId="62" applyFont="1" applyFill="1" applyBorder="1" applyAlignment="1">
      <alignment horizontal="center" vertical="center"/>
    </xf>
    <xf numFmtId="0" fontId="53" fillId="49" borderId="46" xfId="62" applyFont="1" applyFill="1" applyBorder="1" applyAlignment="1">
      <alignment horizontal="center" vertical="center"/>
    </xf>
    <xf numFmtId="0" fontId="55" fillId="47" borderId="49" xfId="62" applyFont="1" applyFill="1" applyBorder="1" applyAlignment="1">
      <alignment horizontal="center" vertical="center"/>
    </xf>
    <xf numFmtId="172" fontId="55" fillId="47" borderId="49" xfId="62" applyNumberFormat="1" applyFont="1" applyFill="1" applyBorder="1" applyAlignment="1">
      <alignment horizontal="center" vertical="center"/>
    </xf>
    <xf numFmtId="0" fontId="55" fillId="47" borderId="50" xfId="62" applyFont="1" applyFill="1" applyBorder="1" applyAlignment="1">
      <alignment horizontal="center" vertical="center"/>
    </xf>
    <xf numFmtId="0" fontId="55" fillId="47" borderId="14" xfId="62" applyFont="1" applyFill="1" applyBorder="1" applyAlignment="1">
      <alignment horizontal="left" vertical="center"/>
    </xf>
    <xf numFmtId="0" fontId="55" fillId="47" borderId="15" xfId="62" applyFont="1" applyFill="1" applyBorder="1" applyAlignment="1">
      <alignment horizontal="left" vertical="center"/>
    </xf>
    <xf numFmtId="0" fontId="55" fillId="47" borderId="48" xfId="62" applyFont="1" applyFill="1" applyBorder="1" applyAlignment="1">
      <alignment horizontal="left" vertical="center"/>
    </xf>
    <xf numFmtId="0" fontId="48" fillId="0" borderId="0" xfId="62" applyFont="1" applyFill="1" applyBorder="1" applyAlignment="1">
      <alignment horizontal="left" vertical="center" indent="4"/>
    </xf>
    <xf numFmtId="9" fontId="48" fillId="0" borderId="0" xfId="60" applyFont="1" applyFill="1" applyBorder="1" applyAlignment="1">
      <alignment horizontal="left" vertical="center" indent="4"/>
    </xf>
    <xf numFmtId="9" fontId="48" fillId="0" borderId="17" xfId="60" applyFont="1" applyFill="1" applyBorder="1" applyAlignment="1">
      <alignment horizontal="left" vertical="center" indent="4"/>
    </xf>
    <xf numFmtId="0" fontId="48" fillId="0" borderId="0" xfId="62" applyFont="1" applyFill="1" applyBorder="1" applyAlignment="1">
      <alignment horizontal="left" vertical="center" indent="3"/>
    </xf>
    <xf numFmtId="0" fontId="48" fillId="0" borderId="0" xfId="62" quotePrefix="1" applyFont="1" applyFill="1" applyBorder="1" applyAlignment="1">
      <alignment horizontal="left" vertical="center" indent="3"/>
    </xf>
    <xf numFmtId="0" fontId="53" fillId="0" borderId="15" xfId="62" applyFont="1" applyFill="1" applyBorder="1" applyAlignment="1">
      <alignment horizontal="left" vertical="center" indent="3"/>
    </xf>
    <xf numFmtId="0" fontId="48" fillId="0" borderId="15" xfId="62" applyFont="1" applyFill="1" applyBorder="1" applyAlignment="1">
      <alignment horizontal="left" vertical="center" indent="3"/>
    </xf>
    <xf numFmtId="0" fontId="50" fillId="45" borderId="17" xfId="62" applyFont="1" applyFill="1" applyBorder="1" applyAlignment="1">
      <alignment horizontal="center" vertical="center"/>
    </xf>
    <xf numFmtId="168" fontId="49" fillId="0" borderId="0" xfId="62" applyNumberFormat="1" applyFont="1" applyAlignment="1">
      <alignment vertical="center"/>
    </xf>
    <xf numFmtId="168" fontId="57" fillId="0" borderId="0" xfId="62" applyNumberFormat="1" applyFont="1" applyAlignment="1">
      <alignment vertical="center"/>
    </xf>
    <xf numFmtId="168" fontId="49" fillId="0" borderId="0" xfId="60" applyNumberFormat="1" applyFont="1" applyAlignment="1">
      <alignment vertical="center"/>
    </xf>
    <xf numFmtId="9" fontId="49" fillId="48" borderId="13" xfId="77" applyNumberFormat="1" applyFont="1" applyFill="1" applyBorder="1" applyAlignment="1">
      <alignment horizontal="right" vertical="center"/>
    </xf>
    <xf numFmtId="1" fontId="49" fillId="0" borderId="13" xfId="77" applyNumberFormat="1" applyFont="1" applyFill="1" applyBorder="1" applyAlignment="1">
      <alignment horizontal="center" vertical="center"/>
    </xf>
    <xf numFmtId="168" fontId="57" fillId="46" borderId="51" xfId="62" applyNumberFormat="1" applyFont="1" applyFill="1" applyBorder="1" applyAlignment="1">
      <alignment horizontal="right" vertical="center"/>
    </xf>
    <xf numFmtId="168" fontId="49" fillId="46" borderId="0" xfId="77" applyNumberFormat="1" applyFont="1" applyFill="1" applyBorder="1" applyAlignment="1">
      <alignment horizontal="right" vertical="center"/>
    </xf>
    <xf numFmtId="168" fontId="49" fillId="46" borderId="0" xfId="62" applyNumberFormat="1" applyFont="1" applyFill="1" applyBorder="1" applyAlignment="1">
      <alignment horizontal="right" vertical="center"/>
    </xf>
    <xf numFmtId="1" fontId="49" fillId="46" borderId="16" xfId="77" applyNumberFormat="1" applyFont="1" applyFill="1" applyBorder="1" applyAlignment="1">
      <alignment horizontal="center" vertical="center"/>
    </xf>
    <xf numFmtId="2" fontId="49" fillId="46" borderId="16" xfId="60" applyNumberFormat="1" applyFont="1" applyFill="1" applyBorder="1" applyAlignment="1">
      <alignment horizontal="center" vertical="center"/>
    </xf>
    <xf numFmtId="14" fontId="52" fillId="45" borderId="34" xfId="62" applyNumberFormat="1" applyFont="1" applyFill="1" applyBorder="1" applyAlignment="1">
      <alignment horizontal="center" vertical="center"/>
    </xf>
    <xf numFmtId="14" fontId="52" fillId="45" borderId="17" xfId="62" applyNumberFormat="1" applyFont="1" applyFill="1" applyBorder="1" applyAlignment="1">
      <alignment horizontal="center" vertical="center"/>
    </xf>
    <xf numFmtId="14" fontId="51" fillId="0" borderId="17" xfId="62" applyNumberFormat="1" applyFont="1" applyFill="1" applyBorder="1" applyAlignment="1">
      <alignment horizontal="left" vertical="center"/>
    </xf>
    <xf numFmtId="14" fontId="48" fillId="0" borderId="0" xfId="62" applyNumberFormat="1" applyFont="1" applyBorder="1" applyAlignment="1">
      <alignment vertical="center"/>
    </xf>
    <xf numFmtId="14" fontId="51" fillId="0" borderId="15" xfId="62" applyNumberFormat="1" applyFont="1" applyFill="1" applyBorder="1" applyAlignment="1">
      <alignment horizontal="left" vertical="center"/>
    </xf>
    <xf numFmtId="9" fontId="49" fillId="0" borderId="27" xfId="60" applyFont="1" applyFill="1" applyBorder="1" applyAlignment="1">
      <alignment horizontal="right" vertical="center"/>
    </xf>
    <xf numFmtId="168" fontId="57" fillId="46" borderId="0" xfId="62" applyNumberFormat="1" applyFont="1" applyFill="1" applyBorder="1" applyAlignment="1" applyProtection="1">
      <alignment horizontal="right" vertical="center"/>
    </xf>
    <xf numFmtId="168" fontId="57" fillId="0" borderId="0" xfId="62" applyNumberFormat="1" applyFont="1" applyFill="1" applyBorder="1" applyAlignment="1" applyProtection="1">
      <alignment horizontal="right" vertical="center"/>
    </xf>
    <xf numFmtId="167" fontId="49" fillId="0" borderId="16" xfId="60" applyNumberFormat="1" applyFont="1" applyFill="1" applyBorder="1" applyAlignment="1">
      <alignment horizontal="right" vertical="center"/>
    </xf>
    <xf numFmtId="167" fontId="49" fillId="0" borderId="13" xfId="60" applyNumberFormat="1" applyFont="1" applyFill="1" applyBorder="1" applyAlignment="1">
      <alignment horizontal="right" vertical="center"/>
    </xf>
    <xf numFmtId="9" fontId="49" fillId="46" borderId="13" xfId="60" applyNumberFormat="1" applyFont="1" applyFill="1" applyBorder="1" applyAlignment="1">
      <alignment horizontal="center" vertical="center"/>
    </xf>
    <xf numFmtId="2" fontId="49" fillId="0" borderId="16" xfId="60" applyNumberFormat="1" applyFont="1" applyFill="1" applyBorder="1" applyAlignment="1">
      <alignment horizontal="center" vertical="center"/>
    </xf>
    <xf numFmtId="0" fontId="1" fillId="0" borderId="0" xfId="62"/>
    <xf numFmtId="0" fontId="52" fillId="0" borderId="0" xfId="62" applyFont="1" applyFill="1" applyBorder="1" applyAlignment="1">
      <alignment horizontal="center" vertical="center"/>
    </xf>
    <xf numFmtId="0" fontId="48" fillId="0" borderId="0" xfId="62" applyFont="1" applyBorder="1" applyAlignment="1">
      <alignment vertical="center"/>
    </xf>
    <xf numFmtId="0" fontId="48" fillId="0" borderId="0" xfId="62" applyFont="1" applyFill="1" applyAlignment="1">
      <alignment vertical="center"/>
    </xf>
    <xf numFmtId="0" fontId="49" fillId="0" borderId="0" xfId="62" applyFont="1" applyFill="1" applyAlignment="1">
      <alignment horizontal="center" vertical="center"/>
    </xf>
    <xf numFmtId="0" fontId="48" fillId="0" borderId="0" xfId="62" applyFont="1" applyFill="1" applyBorder="1" applyAlignment="1">
      <alignment vertical="center"/>
    </xf>
    <xf numFmtId="0" fontId="48" fillId="0" borderId="29" xfId="62" applyFont="1" applyFill="1" applyBorder="1" applyAlignment="1">
      <alignment vertical="center"/>
    </xf>
    <xf numFmtId="0" fontId="53" fillId="0" borderId="0" xfId="62" applyFont="1" applyFill="1" applyBorder="1" applyAlignment="1">
      <alignment vertical="center"/>
    </xf>
    <xf numFmtId="2" fontId="48" fillId="0" borderId="0" xfId="77" applyNumberFormat="1" applyFont="1" applyFill="1" applyBorder="1" applyAlignment="1">
      <alignment horizontal="center" vertical="center"/>
    </xf>
    <xf numFmtId="0" fontId="48" fillId="0" borderId="28" xfId="62" applyFont="1" applyBorder="1" applyAlignment="1">
      <alignment vertical="center"/>
    </xf>
    <xf numFmtId="0" fontId="48" fillId="0" borderId="29" xfId="62" applyFont="1" applyBorder="1" applyAlignment="1">
      <alignment vertical="center"/>
    </xf>
    <xf numFmtId="0" fontId="53" fillId="0" borderId="51" xfId="62" applyFont="1" applyFill="1" applyBorder="1" applyAlignment="1">
      <alignment vertical="center"/>
    </xf>
    <xf numFmtId="0" fontId="48" fillId="0" borderId="15" xfId="62" applyFont="1" applyFill="1" applyBorder="1" applyAlignment="1">
      <alignment vertical="center"/>
    </xf>
    <xf numFmtId="168" fontId="48" fillId="0" borderId="0" xfId="77" applyNumberFormat="1" applyFont="1" applyFill="1" applyBorder="1" applyAlignment="1">
      <alignment vertical="center"/>
    </xf>
    <xf numFmtId="0" fontId="48" fillId="0" borderId="28" xfId="62" applyFont="1" applyFill="1" applyBorder="1" applyAlignment="1">
      <alignment vertical="center"/>
    </xf>
    <xf numFmtId="168" fontId="48" fillId="0" borderId="0" xfId="62" applyNumberFormat="1" applyFont="1" applyFill="1" applyBorder="1" applyAlignment="1">
      <alignment vertical="center"/>
    </xf>
    <xf numFmtId="167" fontId="48" fillId="0" borderId="0" xfId="60" applyNumberFormat="1" applyFont="1" applyFill="1" applyBorder="1" applyAlignment="1">
      <alignment vertical="center"/>
    </xf>
    <xf numFmtId="170" fontId="48" fillId="0" borderId="17" xfId="60" applyNumberFormat="1" applyFont="1" applyFill="1" applyBorder="1" applyAlignment="1">
      <alignment vertical="center"/>
    </xf>
    <xf numFmtId="0" fontId="48" fillId="0" borderId="51" xfId="62" applyFont="1" applyFill="1" applyBorder="1" applyAlignment="1">
      <alignment vertical="center"/>
    </xf>
    <xf numFmtId="172" fontId="48" fillId="0" borderId="51" xfId="62" applyNumberFormat="1" applyFont="1" applyFill="1" applyBorder="1" applyAlignment="1">
      <alignment vertical="center"/>
    </xf>
    <xf numFmtId="172" fontId="48" fillId="0" borderId="0" xfId="62" applyNumberFormat="1" applyFont="1" applyFill="1" applyBorder="1" applyAlignment="1">
      <alignment vertical="center"/>
    </xf>
    <xf numFmtId="169" fontId="48" fillId="0" borderId="0" xfId="62" applyNumberFormat="1" applyFont="1" applyFill="1" applyBorder="1" applyAlignment="1">
      <alignment vertical="center"/>
    </xf>
    <xf numFmtId="0" fontId="53" fillId="0" borderId="0" xfId="62" applyFont="1" applyFill="1" applyAlignment="1">
      <alignment vertical="center"/>
    </xf>
    <xf numFmtId="0" fontId="53" fillId="0" borderId="28" xfId="62" applyFont="1" applyFill="1" applyBorder="1" applyAlignment="1">
      <alignment vertical="center"/>
    </xf>
    <xf numFmtId="0" fontId="54" fillId="48" borderId="56" xfId="62" applyFont="1" applyFill="1" applyBorder="1" applyAlignment="1">
      <alignment vertical="center"/>
    </xf>
    <xf numFmtId="0" fontId="53" fillId="0" borderId="15" xfId="62" applyFont="1" applyFill="1" applyBorder="1" applyAlignment="1">
      <alignment vertical="center"/>
    </xf>
    <xf numFmtId="171" fontId="48" fillId="0" borderId="15" xfId="62" applyNumberFormat="1" applyFont="1" applyFill="1" applyBorder="1" applyAlignment="1">
      <alignment vertical="center"/>
    </xf>
    <xf numFmtId="0" fontId="48" fillId="0" borderId="35" xfId="62" applyFont="1" applyBorder="1" applyAlignment="1">
      <alignment vertical="center"/>
    </xf>
    <xf numFmtId="0" fontId="53" fillId="0" borderId="17" xfId="62" applyFont="1" applyFill="1" applyBorder="1" applyAlignment="1">
      <alignment horizontal="left" vertical="center"/>
    </xf>
    <xf numFmtId="0" fontId="53" fillId="0" borderId="17" xfId="62" applyFont="1" applyFill="1" applyBorder="1" applyAlignment="1">
      <alignment vertical="center"/>
    </xf>
    <xf numFmtId="9" fontId="53" fillId="0" borderId="17" xfId="60" applyFont="1" applyFill="1" applyBorder="1" applyAlignment="1">
      <alignment horizontal="right" vertical="center"/>
    </xf>
    <xf numFmtId="0" fontId="48" fillId="0" borderId="32" xfId="62" applyFont="1" applyBorder="1" applyAlignment="1">
      <alignment vertical="center"/>
    </xf>
    <xf numFmtId="0" fontId="48" fillId="0" borderId="0" xfId="62" applyFont="1" applyFill="1" applyBorder="1" applyAlignment="1">
      <alignment horizontal="left"/>
    </xf>
    <xf numFmtId="0" fontId="48" fillId="0" borderId="51" xfId="62" applyFont="1" applyFill="1" applyBorder="1" applyAlignment="1">
      <alignment horizontal="left"/>
    </xf>
    <xf numFmtId="0" fontId="48" fillId="0" borderId="0" xfId="62" applyFont="1" applyFill="1" applyBorder="1" applyAlignment="1">
      <alignment horizontal="left" indent="1"/>
    </xf>
    <xf numFmtId="0" fontId="48" fillId="0" borderId="0" xfId="62" applyFont="1" applyFill="1" applyBorder="1" applyAlignment="1">
      <alignment horizontal="left" indent="2"/>
    </xf>
    <xf numFmtId="0" fontId="53" fillId="0" borderId="51" xfId="62" applyFont="1" applyFill="1" applyBorder="1" applyAlignment="1">
      <alignment horizontal="left"/>
    </xf>
    <xf numFmtId="0" fontId="48" fillId="0" borderId="0" xfId="62" applyFont="1" applyFill="1" applyBorder="1"/>
    <xf numFmtId="0" fontId="48" fillId="0" borderId="0" xfId="62" applyFont="1" applyFill="1" applyBorder="1" applyAlignment="1">
      <alignment horizontal="left" indent="4"/>
    </xf>
    <xf numFmtId="0" fontId="53" fillId="0" borderId="15" xfId="62" applyFont="1" applyFill="1" applyBorder="1"/>
    <xf numFmtId="0" fontId="48" fillId="0" borderId="15" xfId="62" applyFont="1" applyFill="1" applyBorder="1"/>
    <xf numFmtId="0" fontId="53" fillId="0" borderId="0" xfId="62" applyFont="1" applyFill="1" applyBorder="1" applyAlignment="1">
      <alignment horizontal="left"/>
    </xf>
    <xf numFmtId="171" fontId="48" fillId="0" borderId="13" xfId="62" applyNumberFormat="1" applyFont="1" applyFill="1" applyBorder="1" applyAlignment="1">
      <alignment vertical="center"/>
    </xf>
    <xf numFmtId="4" fontId="0" fillId="0" borderId="13" xfId="0" applyNumberFormat="1" applyFont="1" applyBorder="1" applyAlignment="1"/>
    <xf numFmtId="172" fontId="0" fillId="0" borderId="13" xfId="0" applyNumberFormat="1" applyFont="1" applyBorder="1" applyAlignment="1"/>
    <xf numFmtId="10" fontId="0" fillId="0" borderId="13" xfId="0" applyNumberFormat="1" applyFont="1" applyBorder="1" applyAlignment="1"/>
    <xf numFmtId="0" fontId="7" fillId="11" borderId="1" xfId="0" applyFont="1" applyFill="1" applyBorder="1" applyAlignment="1"/>
    <xf numFmtId="0" fontId="7" fillId="52" borderId="1" xfId="0" applyFont="1" applyFill="1" applyBorder="1" applyAlignment="1">
      <alignment horizontal="right"/>
    </xf>
    <xf numFmtId="0" fontId="17" fillId="53" borderId="1" xfId="0" applyFont="1" applyFill="1" applyBorder="1" applyAlignment="1"/>
    <xf numFmtId="0" fontId="7" fillId="11" borderId="1" xfId="0" applyFont="1" applyFill="1" applyBorder="1" applyAlignment="1">
      <alignment horizontal="right"/>
    </xf>
    <xf numFmtId="10" fontId="7" fillId="11" borderId="1" xfId="0" applyNumberFormat="1" applyFont="1" applyFill="1" applyBorder="1" applyAlignment="1">
      <alignment horizontal="right"/>
    </xf>
    <xf numFmtId="0" fontId="7" fillId="11" borderId="13" xfId="0" applyFont="1" applyFill="1" applyBorder="1" applyAlignment="1"/>
    <xf numFmtId="0" fontId="7" fillId="52" borderId="13" xfId="0" applyFont="1" applyFill="1" applyBorder="1" applyAlignment="1">
      <alignment horizontal="right"/>
    </xf>
    <xf numFmtId="0" fontId="17" fillId="53" borderId="13" xfId="0" applyFont="1" applyFill="1" applyBorder="1" applyAlignment="1"/>
    <xf numFmtId="0" fontId="7" fillId="11" borderId="13" xfId="0" applyFont="1" applyFill="1" applyBorder="1" applyAlignment="1">
      <alignment horizontal="right"/>
    </xf>
    <xf numFmtId="10" fontId="7" fillId="11" borderId="13" xfId="0" applyNumberFormat="1" applyFont="1" applyFill="1" applyBorder="1" applyAlignment="1">
      <alignment horizontal="right"/>
    </xf>
    <xf numFmtId="0" fontId="11" fillId="11" borderId="13" xfId="0" applyFont="1" applyFill="1" applyBorder="1" applyAlignment="1"/>
    <xf numFmtId="0" fontId="19" fillId="5" borderId="63" xfId="0" applyFont="1" applyFill="1" applyBorder="1" applyAlignment="1"/>
    <xf numFmtId="0" fontId="20" fillId="5" borderId="63" xfId="0" applyFont="1" applyFill="1" applyBorder="1" applyAlignment="1">
      <alignment horizontal="right"/>
    </xf>
    <xf numFmtId="0" fontId="19" fillId="0" borderId="13" xfId="0" applyFont="1" applyFill="1" applyBorder="1" applyAlignment="1"/>
    <xf numFmtId="10" fontId="0" fillId="0" borderId="13" xfId="1" applyNumberFormat="1" applyFont="1" applyBorder="1" applyAlignment="1"/>
    <xf numFmtId="0" fontId="7" fillId="0" borderId="13" xfId="0" applyFont="1" applyBorder="1" applyAlignment="1"/>
    <xf numFmtId="10" fontId="7" fillId="0" borderId="13" xfId="0" applyNumberFormat="1" applyFont="1" applyBorder="1" applyAlignment="1"/>
    <xf numFmtId="10" fontId="25" fillId="0" borderId="13" xfId="1" applyNumberFormat="1" applyFont="1" applyBorder="1" applyAlignment="1"/>
    <xf numFmtId="9" fontId="0" fillId="0" borderId="13" xfId="0" applyNumberFormat="1" applyFont="1" applyBorder="1" applyAlignment="1"/>
    <xf numFmtId="0" fontId="19" fillId="0" borderId="63" xfId="0" applyFont="1" applyBorder="1" applyAlignment="1"/>
    <xf numFmtId="0" fontId="20" fillId="0" borderId="63" xfId="0" applyFont="1" applyBorder="1" applyAlignment="1">
      <alignment horizontal="right"/>
    </xf>
    <xf numFmtId="0" fontId="19" fillId="52" borderId="1" xfId="0" applyFont="1" applyFill="1" applyBorder="1" applyAlignment="1"/>
    <xf numFmtId="0" fontId="20" fillId="52" borderId="1" xfId="0" applyFont="1" applyFill="1" applyBorder="1" applyAlignment="1">
      <alignment horizontal="right"/>
    </xf>
    <xf numFmtId="0" fontId="71" fillId="5" borderId="1" xfId="0" applyFont="1" applyFill="1" applyBorder="1" applyAlignment="1">
      <alignment horizontal="right"/>
    </xf>
    <xf numFmtId="0" fontId="71" fillId="5" borderId="1" xfId="0" applyFont="1" applyFill="1" applyBorder="1" applyAlignment="1"/>
    <xf numFmtId="0" fontId="71" fillId="5" borderId="63" xfId="0" applyFont="1" applyFill="1" applyBorder="1" applyAlignment="1">
      <alignment horizontal="right"/>
    </xf>
    <xf numFmtId="0" fontId="0" fillId="0" borderId="27" xfId="0" applyFont="1" applyBorder="1" applyAlignment="1"/>
    <xf numFmtId="0" fontId="70" fillId="52" borderId="64" xfId="0" applyFont="1" applyFill="1" applyBorder="1" applyAlignment="1"/>
    <xf numFmtId="0" fontId="71" fillId="52" borderId="65" xfId="0" applyFont="1" applyFill="1" applyBorder="1" applyAlignment="1">
      <alignment horizontal="right"/>
    </xf>
    <xf numFmtId="0" fontId="71" fillId="52" borderId="66" xfId="0" applyFont="1" applyFill="1" applyBorder="1" applyAlignment="1">
      <alignment horizontal="right"/>
    </xf>
    <xf numFmtId="0" fontId="70" fillId="5" borderId="67" xfId="0" applyFont="1" applyFill="1" applyBorder="1" applyAlignment="1"/>
    <xf numFmtId="0" fontId="71" fillId="5" borderId="68" xfId="0" applyFont="1" applyFill="1" applyBorder="1" applyAlignment="1">
      <alignment horizontal="right"/>
    </xf>
    <xf numFmtId="0" fontId="71" fillId="5" borderId="68" xfId="0" applyFont="1" applyFill="1" applyBorder="1" applyAlignment="1"/>
    <xf numFmtId="0" fontId="70" fillId="5" borderId="69" xfId="0" applyFont="1" applyFill="1" applyBorder="1"/>
    <xf numFmtId="0" fontId="71" fillId="5" borderId="70" xfId="0" applyFont="1" applyFill="1" applyBorder="1" applyAlignment="1">
      <alignment horizontal="right"/>
    </xf>
    <xf numFmtId="0" fontId="23" fillId="0" borderId="71" xfId="0" applyFont="1" applyBorder="1" applyAlignment="1"/>
    <xf numFmtId="0" fontId="0" fillId="0" borderId="71" xfId="0" applyFont="1" applyBorder="1" applyAlignment="1"/>
    <xf numFmtId="0" fontId="19" fillId="0" borderId="71" xfId="0" applyFont="1" applyFill="1" applyBorder="1" applyAlignment="1"/>
    <xf numFmtId="10" fontId="0" fillId="0" borderId="71" xfId="1" applyNumberFormat="1" applyFont="1" applyBorder="1" applyAlignment="1"/>
    <xf numFmtId="10" fontId="0" fillId="0" borderId="71" xfId="0" applyNumberFormat="1" applyFont="1" applyBorder="1" applyAlignment="1"/>
    <xf numFmtId="0" fontId="7" fillId="0" borderId="71" xfId="0" applyFont="1" applyBorder="1" applyAlignment="1"/>
    <xf numFmtId="10" fontId="7" fillId="0" borderId="71" xfId="0" applyNumberFormat="1" applyFont="1" applyBorder="1" applyAlignment="1"/>
    <xf numFmtId="10" fontId="25" fillId="0" borderId="71" xfId="1" applyNumberFormat="1" applyFont="1" applyBorder="1" applyAlignment="1"/>
    <xf numFmtId="9" fontId="0" fillId="0" borderId="71" xfId="0" applyNumberFormat="1" applyFont="1" applyBorder="1" applyAlignment="1"/>
    <xf numFmtId="0" fontId="10" fillId="54" borderId="9" xfId="0" applyFont="1" applyFill="1" applyBorder="1" applyAlignment="1"/>
    <xf numFmtId="0" fontId="7" fillId="11" borderId="9" xfId="0" applyFont="1" applyFill="1" applyBorder="1" applyAlignment="1"/>
    <xf numFmtId="0" fontId="7" fillId="11" borderId="9" xfId="0" applyFont="1" applyFill="1" applyBorder="1" applyAlignment="1">
      <alignment horizontal="right"/>
    </xf>
    <xf numFmtId="10" fontId="7" fillId="11" borderId="9" xfId="0" applyNumberFormat="1" applyFont="1" applyFill="1" applyBorder="1" applyAlignment="1">
      <alignment horizontal="right"/>
    </xf>
    <xf numFmtId="0" fontId="9" fillId="54" borderId="71" xfId="0" applyFont="1" applyFill="1" applyBorder="1" applyAlignment="1"/>
    <xf numFmtId="0" fontId="10" fillId="54" borderId="71" xfId="0" applyFont="1" applyFill="1" applyBorder="1" applyAlignment="1"/>
    <xf numFmtId="0" fontId="9" fillId="54" borderId="71" xfId="0" applyFont="1" applyFill="1" applyBorder="1" applyAlignment="1">
      <alignment horizontal="right"/>
    </xf>
    <xf numFmtId="0" fontId="7" fillId="11" borderId="71" xfId="0" applyFont="1" applyFill="1" applyBorder="1" applyAlignment="1"/>
    <xf numFmtId="0" fontId="18" fillId="11" borderId="71" xfId="0" applyFont="1" applyFill="1" applyBorder="1" applyAlignment="1"/>
    <xf numFmtId="0" fontId="20" fillId="55" borderId="71" xfId="0" applyFont="1" applyFill="1" applyBorder="1" applyAlignment="1">
      <alignment horizontal="right"/>
    </xf>
    <xf numFmtId="0" fontId="7" fillId="11" borderId="71" xfId="0" applyFont="1" applyFill="1" applyBorder="1" applyAlignment="1">
      <alignment horizontal="right"/>
    </xf>
    <xf numFmtId="10" fontId="7" fillId="11" borderId="71" xfId="0" applyNumberFormat="1" applyFont="1" applyFill="1" applyBorder="1" applyAlignment="1">
      <alignment horizontal="right"/>
    </xf>
    <xf numFmtId="0" fontId="22" fillId="11" borderId="71" xfId="0" applyFont="1" applyFill="1" applyBorder="1" applyAlignment="1"/>
    <xf numFmtId="0" fontId="16" fillId="11" borderId="71" xfId="0" applyFont="1" applyFill="1" applyBorder="1" applyAlignment="1"/>
    <xf numFmtId="0" fontId="12" fillId="52" borderId="1" xfId="0" applyFont="1" applyFill="1" applyBorder="1" applyAlignment="1"/>
    <xf numFmtId="0" fontId="7" fillId="52" borderId="1" xfId="0" applyFont="1" applyFill="1" applyBorder="1" applyAlignment="1"/>
    <xf numFmtId="0" fontId="12" fillId="52" borderId="1" xfId="0" applyFont="1" applyFill="1" applyBorder="1" applyAlignment="1">
      <alignment horizontal="right"/>
    </xf>
    <xf numFmtId="0" fontId="13" fillId="11" borderId="1" xfId="0" applyFont="1" applyFill="1" applyBorder="1" applyAlignment="1"/>
    <xf numFmtId="0" fontId="15" fillId="11" borderId="1" xfId="0" applyFont="1" applyFill="1" applyBorder="1" applyAlignment="1"/>
    <xf numFmtId="0" fontId="7" fillId="11" borderId="0" xfId="0" applyFont="1" applyFill="1" applyAlignment="1"/>
    <xf numFmtId="0" fontId="8" fillId="55" borderId="0" xfId="0" applyFont="1" applyFill="1" applyAlignment="1"/>
    <xf numFmtId="0" fontId="7" fillId="55" borderId="0" xfId="0" applyFont="1" applyFill="1" applyAlignment="1"/>
    <xf numFmtId="0" fontId="7" fillId="55" borderId="0" xfId="0" applyFont="1" applyFill="1" applyAlignment="1">
      <alignment horizontal="right"/>
    </xf>
    <xf numFmtId="0" fontId="12" fillId="52" borderId="71" xfId="0" applyFont="1" applyFill="1" applyBorder="1" applyAlignment="1"/>
    <xf numFmtId="0" fontId="7" fillId="52" borderId="71" xfId="0" applyFont="1" applyFill="1" applyBorder="1" applyAlignment="1"/>
    <xf numFmtId="0" fontId="12" fillId="52" borderId="71" xfId="0" applyFont="1" applyFill="1" applyBorder="1" applyAlignment="1">
      <alignment horizontal="right"/>
    </xf>
    <xf numFmtId="0" fontId="13" fillId="11" borderId="71" xfId="0" applyFont="1" applyFill="1" applyBorder="1" applyAlignment="1"/>
    <xf numFmtId="0" fontId="15" fillId="11" borderId="71" xfId="0" applyFont="1" applyFill="1" applyBorder="1" applyAlignment="1"/>
    <xf numFmtId="0" fontId="20" fillId="55" borderId="71" xfId="0" applyFont="1" applyFill="1" applyBorder="1" applyAlignment="1"/>
    <xf numFmtId="0" fontId="8" fillId="55" borderId="71" xfId="0" applyFont="1" applyFill="1" applyBorder="1" applyAlignment="1"/>
    <xf numFmtId="0" fontId="7" fillId="55" borderId="71" xfId="0" applyFont="1" applyFill="1" applyBorder="1" applyAlignment="1"/>
    <xf numFmtId="0" fontId="7" fillId="55" borderId="71" xfId="0" applyFont="1" applyFill="1" applyBorder="1" applyAlignment="1">
      <alignment horizontal="right"/>
    </xf>
    <xf numFmtId="0" fontId="0" fillId="11" borderId="0" xfId="0" applyFont="1" applyFill="1" applyAlignment="1"/>
    <xf numFmtId="0" fontId="10" fillId="54" borderId="9" xfId="0" applyFont="1" applyFill="1" applyBorder="1" applyAlignment="1">
      <alignment horizontal="right"/>
    </xf>
    <xf numFmtId="0" fontId="17" fillId="53" borderId="9" xfId="0" applyFont="1" applyFill="1" applyBorder="1" applyAlignment="1"/>
    <xf numFmtId="4" fontId="7" fillId="11" borderId="9" xfId="0" applyNumberFormat="1" applyFont="1" applyFill="1" applyBorder="1" applyAlignment="1">
      <alignment horizontal="right"/>
    </xf>
    <xf numFmtId="0" fontId="7" fillId="52" borderId="9" xfId="0" applyFont="1" applyFill="1" applyBorder="1" applyAlignment="1"/>
    <xf numFmtId="4" fontId="7" fillId="52" borderId="9" xfId="0" applyNumberFormat="1" applyFont="1" applyFill="1" applyBorder="1" applyAlignment="1">
      <alignment horizontal="right"/>
    </xf>
    <xf numFmtId="0" fontId="12" fillId="11" borderId="9" xfId="0" applyFont="1" applyFill="1" applyBorder="1" applyAlignment="1"/>
    <xf numFmtId="0" fontId="8" fillId="11" borderId="9" xfId="0" applyFont="1" applyFill="1" applyBorder="1" applyAlignment="1"/>
    <xf numFmtId="0" fontId="8" fillId="52" borderId="9" xfId="0" applyFont="1" applyFill="1" applyBorder="1" applyAlignment="1"/>
    <xf numFmtId="0" fontId="0" fillId="11" borderId="0" xfId="0" applyFill="1"/>
    <xf numFmtId="0" fontId="12" fillId="11" borderId="1" xfId="0" applyFont="1" applyFill="1" applyBorder="1" applyAlignment="1"/>
    <xf numFmtId="0" fontId="8" fillId="11" borderId="1" xfId="0" applyFont="1" applyFill="1" applyBorder="1" applyAlignment="1"/>
    <xf numFmtId="0" fontId="8" fillId="11" borderId="0" xfId="0" applyFont="1" applyFill="1" applyAlignment="1">
      <alignment horizontal="right"/>
    </xf>
    <xf numFmtId="0" fontId="8" fillId="11" borderId="2" xfId="0" applyFont="1" applyFill="1" applyBorder="1" applyAlignment="1">
      <alignment horizontal="center"/>
    </xf>
    <xf numFmtId="0" fontId="11" fillId="11" borderId="3" xfId="0" applyFont="1" applyFill="1" applyBorder="1"/>
    <xf numFmtId="0" fontId="11" fillId="11" borderId="4" xfId="0" applyFont="1" applyFill="1" applyBorder="1"/>
    <xf numFmtId="0" fontId="14" fillId="11" borderId="2" xfId="0" applyFont="1" applyFill="1" applyBorder="1" applyAlignment="1"/>
    <xf numFmtId="0" fontId="13" fillId="11" borderId="2" xfId="0" applyFont="1" applyFill="1" applyBorder="1" applyAlignment="1"/>
    <xf numFmtId="0" fontId="7" fillId="11" borderId="6" xfId="0" applyFont="1" applyFill="1" applyBorder="1" applyAlignment="1">
      <alignment horizontal="right"/>
    </xf>
    <xf numFmtId="4" fontId="7" fillId="11" borderId="1" xfId="0" applyNumberFormat="1" applyFont="1" applyFill="1" applyBorder="1" applyAlignment="1">
      <alignment horizontal="right"/>
    </xf>
    <xf numFmtId="0" fontId="8" fillId="52" borderId="1" xfId="0" applyFont="1" applyFill="1" applyBorder="1" applyAlignment="1"/>
    <xf numFmtId="4" fontId="7" fillId="52" borderId="1" xfId="0" applyNumberFormat="1" applyFont="1" applyFill="1" applyBorder="1" applyAlignment="1">
      <alignment horizontal="right"/>
    </xf>
    <xf numFmtId="0" fontId="20" fillId="52" borderId="2" xfId="0" applyFont="1" applyFill="1" applyBorder="1" applyAlignment="1">
      <alignment horizontal="right"/>
    </xf>
    <xf numFmtId="0" fontId="20" fillId="5" borderId="2" xfId="0" applyFont="1" applyFill="1" applyBorder="1" applyAlignment="1">
      <alignment horizontal="right"/>
    </xf>
    <xf numFmtId="0" fontId="20" fillId="5" borderId="2" xfId="0" applyFont="1" applyFill="1" applyBorder="1" applyAlignment="1"/>
    <xf numFmtId="0" fontId="20" fillId="5" borderId="72" xfId="0" applyFont="1" applyFill="1" applyBorder="1" applyAlignment="1">
      <alignment horizontal="right"/>
    </xf>
    <xf numFmtId="0" fontId="0" fillId="11" borderId="71" xfId="0" applyFont="1" applyFill="1" applyBorder="1" applyAlignment="1"/>
    <xf numFmtId="0" fontId="28" fillId="0" borderId="13" xfId="0" applyFont="1" applyBorder="1" applyAlignment="1"/>
    <xf numFmtId="0" fontId="3" fillId="2" borderId="0" xfId="0" applyFont="1" applyFill="1" applyAlignment="1">
      <alignment horizontal="left"/>
    </xf>
    <xf numFmtId="0" fontId="0" fillId="0" borderId="0" xfId="0" applyFont="1" applyAlignment="1"/>
    <xf numFmtId="0" fontId="14" fillId="11" borderId="2" xfId="0" applyFont="1" applyFill="1" applyBorder="1" applyAlignment="1"/>
    <xf numFmtId="0" fontId="11" fillId="11" borderId="3" xfId="0" applyFont="1" applyFill="1" applyBorder="1"/>
    <xf numFmtId="0" fontId="11" fillId="11" borderId="4" xfId="0" applyFont="1" applyFill="1" applyBorder="1"/>
    <xf numFmtId="0" fontId="13" fillId="11" borderId="2" xfId="0" applyFont="1" applyFill="1" applyBorder="1" applyAlignment="1"/>
    <xf numFmtId="0" fontId="8" fillId="11" borderId="2" xfId="0" applyFont="1" applyFill="1" applyBorder="1" applyAlignment="1"/>
    <xf numFmtId="0" fontId="7" fillId="11" borderId="2" xfId="0" applyFont="1" applyFill="1" applyBorder="1" applyAlignment="1">
      <alignment horizontal="center"/>
    </xf>
    <xf numFmtId="0" fontId="12" fillId="11" borderId="2" xfId="0" applyFont="1" applyFill="1" applyBorder="1" applyAlignment="1"/>
    <xf numFmtId="0" fontId="8" fillId="11" borderId="2" xfId="0" applyFont="1" applyFill="1" applyBorder="1" applyAlignment="1">
      <alignment horizontal="center"/>
    </xf>
    <xf numFmtId="0" fontId="28" fillId="10" borderId="14" xfId="0" applyFont="1" applyFill="1" applyBorder="1" applyAlignment="1">
      <alignment horizontal="center"/>
    </xf>
    <xf numFmtId="0" fontId="28" fillId="10" borderId="15" xfId="0" applyFont="1" applyFill="1" applyBorder="1" applyAlignment="1">
      <alignment horizontal="center"/>
    </xf>
    <xf numFmtId="0" fontId="28" fillId="10" borderId="16" xfId="0" applyFont="1" applyFill="1" applyBorder="1" applyAlignment="1">
      <alignment horizontal="center"/>
    </xf>
    <xf numFmtId="0" fontId="28" fillId="10" borderId="17" xfId="0" applyFont="1" applyFill="1" applyBorder="1" applyAlignment="1">
      <alignment horizontal="center"/>
    </xf>
    <xf numFmtId="0" fontId="12" fillId="0" borderId="7" xfId="0" applyFont="1" applyBorder="1" applyAlignment="1"/>
    <xf numFmtId="0" fontId="11" fillId="0" borderId="6" xfId="0" applyFont="1" applyBorder="1"/>
    <xf numFmtId="0" fontId="8" fillId="0" borderId="7" xfId="0" applyFont="1" applyBorder="1" applyAlignment="1"/>
    <xf numFmtId="0" fontId="11" fillId="0" borderId="8" xfId="0" applyFont="1" applyBorder="1"/>
    <xf numFmtId="0" fontId="8" fillId="0" borderId="7" xfId="0" applyFont="1" applyBorder="1" applyAlignment="1">
      <alignment horizontal="center"/>
    </xf>
    <xf numFmtId="0" fontId="14" fillId="11" borderId="71" xfId="0" applyFont="1" applyFill="1" applyBorder="1" applyAlignment="1"/>
    <xf numFmtId="0" fontId="11" fillId="11" borderId="71" xfId="0" applyFont="1" applyFill="1" applyBorder="1"/>
    <xf numFmtId="0" fontId="13" fillId="11" borderId="71" xfId="0" applyFont="1" applyFill="1" applyBorder="1" applyAlignment="1"/>
    <xf numFmtId="0" fontId="16" fillId="11" borderId="71" xfId="0" applyFont="1" applyFill="1" applyBorder="1" applyAlignment="1"/>
    <xf numFmtId="0" fontId="7" fillId="11" borderId="10" xfId="0" applyFont="1" applyFill="1" applyBorder="1" applyAlignment="1">
      <alignment horizontal="center"/>
    </xf>
    <xf numFmtId="0" fontId="11" fillId="11" borderId="11" xfId="0" applyFont="1" applyFill="1" applyBorder="1"/>
    <xf numFmtId="0" fontId="11" fillId="11" borderId="12" xfId="0" applyFont="1" applyFill="1" applyBorder="1"/>
    <xf numFmtId="0" fontId="22" fillId="11" borderId="71" xfId="0" applyFont="1" applyFill="1" applyBorder="1" applyAlignment="1"/>
    <xf numFmtId="0" fontId="8" fillId="11" borderId="7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1" fillId="0" borderId="3" xfId="0" applyFont="1" applyBorder="1"/>
    <xf numFmtId="0" fontId="11" fillId="0" borderId="4" xfId="0" applyFont="1" applyBorder="1"/>
    <xf numFmtId="0" fontId="7" fillId="0" borderId="2" xfId="0" applyFont="1" applyBorder="1" applyAlignment="1">
      <alignment horizontal="center"/>
    </xf>
    <xf numFmtId="0" fontId="68" fillId="47" borderId="61" xfId="62" applyFont="1" applyFill="1" applyBorder="1" applyAlignment="1">
      <alignment horizontal="left" vertical="center"/>
    </xf>
    <xf numFmtId="0" fontId="68" fillId="47" borderId="57" xfId="62" applyFont="1" applyFill="1" applyBorder="1" applyAlignment="1">
      <alignment horizontal="left" vertical="center"/>
    </xf>
    <xf numFmtId="0" fontId="68" fillId="47" borderId="62" xfId="62" applyFont="1" applyFill="1" applyBorder="1" applyAlignment="1">
      <alignment horizontal="left" vertical="center"/>
    </xf>
    <xf numFmtId="169" fontId="53" fillId="0" borderId="51" xfId="62" applyNumberFormat="1" applyFont="1" applyFill="1" applyBorder="1" applyAlignment="1">
      <alignment horizontal="center" vertical="center"/>
    </xf>
    <xf numFmtId="172" fontId="53" fillId="0" borderId="51" xfId="62" applyNumberFormat="1" applyFont="1" applyFill="1" applyBorder="1" applyAlignment="1">
      <alignment horizontal="center" vertical="center"/>
    </xf>
    <xf numFmtId="171" fontId="53" fillId="0" borderId="15" xfId="62" applyNumberFormat="1" applyFont="1" applyFill="1" applyBorder="1" applyAlignment="1">
      <alignment horizontal="center" vertical="center"/>
    </xf>
    <xf numFmtId="9" fontId="53" fillId="0" borderId="51" xfId="60" applyFont="1" applyFill="1" applyBorder="1" applyAlignment="1">
      <alignment horizontal="right" vertical="center"/>
    </xf>
    <xf numFmtId="0" fontId="55" fillId="47" borderId="59" xfId="62" applyFont="1" applyFill="1" applyBorder="1" applyAlignment="1">
      <alignment horizontal="center" vertical="center"/>
    </xf>
    <xf numFmtId="0" fontId="55" fillId="47" borderId="58" xfId="62" applyFont="1" applyFill="1" applyBorder="1" applyAlignment="1">
      <alignment horizontal="center" vertical="center"/>
    </xf>
    <xf numFmtId="0" fontId="55" fillId="47" borderId="60" xfId="62" applyFont="1" applyFill="1" applyBorder="1" applyAlignment="1">
      <alignment horizontal="center" vertical="center"/>
    </xf>
  </cellXfs>
  <cellStyles count="78">
    <cellStyle name="20% - Accent1" xfId="18" builtinId="30" customBuiltin="1"/>
    <cellStyle name="20% - Accent1 2" xfId="48" xr:uid="{C353C4DF-4101-4807-BC0D-F7ED366290C2}"/>
    <cellStyle name="20% - Accent2" xfId="21" builtinId="34" customBuiltin="1"/>
    <cellStyle name="20% - Accent2 2" xfId="49" xr:uid="{368A96C8-2266-4879-BE9B-EA2E9CF2251C}"/>
    <cellStyle name="20% - Accent3" xfId="24" builtinId="38" customBuiltin="1"/>
    <cellStyle name="20% - Accent3 2" xfId="50" xr:uid="{7543E69D-D669-4E65-B6B4-6E3D6055EFB3}"/>
    <cellStyle name="20% - Accent4" xfId="27" builtinId="42" customBuiltin="1"/>
    <cellStyle name="20% - Accent4 2" xfId="51" xr:uid="{0ACB8968-5488-46D2-B5D0-C981F14B2901}"/>
    <cellStyle name="20% - Accent5" xfId="30" builtinId="46" customBuiltin="1"/>
    <cellStyle name="20% - Accent5 2" xfId="52" xr:uid="{9CD655DB-004C-403D-8C21-054C5809283D}"/>
    <cellStyle name="20% - Accent6" xfId="33" builtinId="50" customBuiltin="1"/>
    <cellStyle name="20% - Accent6 2" xfId="53" xr:uid="{6C7AECE3-4CDB-41F6-BB85-F65A2B5C2375}"/>
    <cellStyle name="40% - Accent1" xfId="19" builtinId="31" customBuiltin="1"/>
    <cellStyle name="40% - Accent1 2" xfId="54" xr:uid="{3CBF371A-C8E3-476B-AC38-620D382C8DBE}"/>
    <cellStyle name="40% - Accent2" xfId="22" builtinId="35" customBuiltin="1"/>
    <cellStyle name="40% - Accent2 2" xfId="55" xr:uid="{D38612AB-FE95-4C37-B6F2-282F231CCC19}"/>
    <cellStyle name="40% - Accent3" xfId="25" builtinId="39" customBuiltin="1"/>
    <cellStyle name="40% - Accent3 2" xfId="56" xr:uid="{9E221E5B-04C0-4319-984A-9CF66165DD88}"/>
    <cellStyle name="40% - Accent4" xfId="28" builtinId="43" customBuiltin="1"/>
    <cellStyle name="40% - Accent4 2" xfId="57" xr:uid="{9D42F3DE-1302-4389-8B1D-66849B2EFA3B}"/>
    <cellStyle name="40% - Accent5" xfId="31" builtinId="47" customBuiltin="1"/>
    <cellStyle name="40% - Accent5 2" xfId="58" xr:uid="{FB8640DA-EFEC-46FC-9024-CC9BBD14986F}"/>
    <cellStyle name="40% - Accent6" xfId="34" builtinId="51" customBuiltin="1"/>
    <cellStyle name="40% - Accent6 2" xfId="59" xr:uid="{5BA7AC07-0261-4D3F-B466-A2CDEAF2D244}"/>
    <cellStyle name="60% - Accent1 2" xfId="36" xr:uid="{3C3DACF6-1B25-412C-8187-0A2F6D476824}"/>
    <cellStyle name="60% - Accent2 2" xfId="37" xr:uid="{79DE83E3-2597-4330-9571-9EA5ED97283F}"/>
    <cellStyle name="60% - Accent3 2" xfId="38" xr:uid="{E24CFB8B-3F03-4525-BD00-0E51639177BE}"/>
    <cellStyle name="60% - Accent4 2" xfId="39" xr:uid="{B391CC96-54A9-4DC2-A899-6B294530BF20}"/>
    <cellStyle name="60% - Accent5 2" xfId="40" xr:uid="{056B4691-EEF0-4955-BEC6-F34813B1326F}"/>
    <cellStyle name="60% - Accent6 2" xfId="41" xr:uid="{CFA130D6-3BAA-4D73-A482-D42043307167}"/>
    <cellStyle name="Accent1" xfId="17" builtinId="29" customBuiltin="1"/>
    <cellStyle name="Accent1 2" xfId="65" xr:uid="{3F21A372-8FAB-4AB0-9864-6A92DCFA1CA9}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8" builtinId="27" customBuiltin="1"/>
    <cellStyle name="blp_column_header" xfId="42" xr:uid="{C3D6D750-8BFD-4AD7-9AA9-2CD2342E3FEE}"/>
    <cellStyle name="Calculation" xfId="11" builtinId="22" customBuiltin="1"/>
    <cellStyle name="Check Cell" xfId="13" builtinId="23" customBuiltin="1"/>
    <cellStyle name="Comma 2" xfId="76" xr:uid="{C147667E-45C7-4250-BA92-54B685E6AEB9}"/>
    <cellStyle name="Comma 2 2" xfId="71" xr:uid="{4B5DCAB4-4250-40D5-8CA1-341E6EB4A1E8}"/>
    <cellStyle name="Comma 3" xfId="77" xr:uid="{6E940049-5F97-44F2-BB35-57D17108A52B}"/>
    <cellStyle name="Currency 2" xfId="74" xr:uid="{7B6CC195-B2C1-425E-8842-7B4BA987137A}"/>
    <cellStyle name="Currency 2 2" xfId="70" xr:uid="{0CCEF0AB-DF2C-4F1E-AB54-B211AFEBC3AC}"/>
    <cellStyle name="Explanatory Text" xfId="15" builtinId="53" customBuiltin="1"/>
    <cellStyle name="fa_column_header_bottom" xfId="43" xr:uid="{29FA8754-6061-4178-9BA9-3EF64B318766}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2" builtinId="8"/>
    <cellStyle name="Hyperlink 2" xfId="64" xr:uid="{BC9BF30A-2F45-4622-9D17-2540842C95A2}"/>
    <cellStyle name="Hyperlink 3" xfId="69" xr:uid="{8E290862-79D4-4F74-8513-EE0C59ECFDDD}"/>
    <cellStyle name="Input" xfId="9" builtinId="20" customBuiltin="1"/>
    <cellStyle name="Linked Cell" xfId="12" builtinId="24" customBuiltin="1"/>
    <cellStyle name="Neutral 2" xfId="44" xr:uid="{25E8C7D8-D5A7-497A-9831-B95F9C1CCAFD}"/>
    <cellStyle name="Normal" xfId="0" builtinId="0"/>
    <cellStyle name="Normal 2" xfId="35" xr:uid="{E843F23C-7E0A-4682-9C71-28E04EB51B83}"/>
    <cellStyle name="Normal 2 2" xfId="62" xr:uid="{3B2E6283-1FCE-411E-A91C-C1A2E30E7004}"/>
    <cellStyle name="Normal 2 3" xfId="63" xr:uid="{3BD86B73-80D3-498E-BEBE-61F926D564F6}"/>
    <cellStyle name="Normal 2 4" xfId="73" xr:uid="{190E7025-7E0D-4CC0-AE1A-659B6671B750}"/>
    <cellStyle name="Normal 3" xfId="47" xr:uid="{717D7C2A-735F-41B4-8AC4-62D9975E7137}"/>
    <cellStyle name="Normal 3 2" xfId="61" xr:uid="{F42B14B0-C5DE-46B4-A902-4A1342E7E359}"/>
    <cellStyle name="Normal 4" xfId="67" xr:uid="{4ABA3AF5-00BB-4CD9-A5DD-DD8217E42707}"/>
    <cellStyle name="Normal 5" xfId="68" xr:uid="{858FCA10-83CB-4C08-8980-25858994F4B0}"/>
    <cellStyle name="Normal 6" xfId="66" xr:uid="{7327CD47-0790-4A5A-8871-BD062DEC84F6}"/>
    <cellStyle name="Note 2" xfId="45" xr:uid="{74A8DCED-DC57-46C2-A20F-E1814ADFB068}"/>
    <cellStyle name="Note 3" xfId="75" xr:uid="{6C920386-1458-44A6-93D2-EB40968DEBF9}"/>
    <cellStyle name="Output" xfId="10" builtinId="21" customBuiltin="1"/>
    <cellStyle name="Percent" xfId="1" builtinId="5"/>
    <cellStyle name="Percent 2" xfId="60" xr:uid="{FE36B2CE-09F5-4280-A26F-1191D49F91C6}"/>
    <cellStyle name="Percent 3" xfId="72" xr:uid="{2E6557D2-FBBE-4BEA-9215-DDB4629D5B4D}"/>
    <cellStyle name="Title 2" xfId="46" xr:uid="{DDDC61BA-9881-4910-89CC-4C1B04D95741}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Valuation</a:t>
            </a:r>
            <a:r>
              <a:rPr lang="en-IN" baseline="0"/>
              <a:t> of Tata Elxsi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212664041994751"/>
          <c:y val="0.16712962962962963"/>
          <c:w val="0.5964496937882765"/>
          <c:h val="0.6294929279673374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Graphs!$D$3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9700187555515116E-2"/>
                  <c:y val="-5.5555555555555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E19-4AD6-A78D-4E58AB33A2EF}"/>
                </c:ext>
              </c:extLst>
            </c:dLbl>
            <c:dLbl>
              <c:idx val="1"/>
              <c:layout>
                <c:manualLayout>
                  <c:x val="-2.700017050501374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E19-4AD6-A78D-4E58AB33A2EF}"/>
                </c:ext>
              </c:extLst>
            </c:dLbl>
            <c:dLbl>
              <c:idx val="3"/>
              <c:layout>
                <c:manualLayout>
                  <c:x val="-1.0800068202005497E-2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E19-4AD6-A78D-4E58AB33A2EF}"/>
                </c:ext>
              </c:extLst>
            </c:dLbl>
            <c:dLbl>
              <c:idx val="4"/>
              <c:layout>
                <c:manualLayout>
                  <c:x val="0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E19-4AD6-A78D-4E58AB33A2EF}"/>
                </c:ext>
              </c:extLst>
            </c:dLbl>
            <c:dLbl>
              <c:idx val="5"/>
              <c:layout>
                <c:manualLayout>
                  <c:x val="2.7000170505013243E-3"/>
                  <c:y val="-7.4074074074074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19-4AD6-A78D-4E58AB33A2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Graphs!$A$4:$C$9</c:f>
              <c:strCache>
                <c:ptCount val="6"/>
                <c:pt idx="0">
                  <c:v>DCF Perpetuity growth rate </c:v>
                </c:pt>
                <c:pt idx="1">
                  <c:v>DCF Terminal EBITDA</c:v>
                </c:pt>
                <c:pt idx="2">
                  <c:v>PE Ratio</c:v>
                </c:pt>
                <c:pt idx="3">
                  <c:v>EV/EBITDA</c:v>
                </c:pt>
                <c:pt idx="4">
                  <c:v>EV/SALES</c:v>
                </c:pt>
                <c:pt idx="5">
                  <c:v>52 Week Low/High</c:v>
                </c:pt>
              </c:strCache>
            </c:strRef>
          </c:cat>
          <c:val>
            <c:numRef>
              <c:f>Graphs!$D$4:$D$9</c:f>
              <c:numCache>
                <c:formatCode>General</c:formatCode>
                <c:ptCount val="6"/>
                <c:pt idx="0">
                  <c:v>6423.6389914886777</c:v>
                </c:pt>
                <c:pt idx="1">
                  <c:v>1389.2826553570092</c:v>
                </c:pt>
                <c:pt idx="2">
                  <c:v>4497.0235199999997</c:v>
                </c:pt>
                <c:pt idx="3">
                  <c:v>1081.8744499759114</c:v>
                </c:pt>
                <c:pt idx="4">
                  <c:v>2193.8602730046568</c:v>
                </c:pt>
                <c:pt idx="5">
                  <c:v>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9-4AD6-A78D-4E58AB33A2EF}"/>
            </c:ext>
          </c:extLst>
        </c:ser>
        <c:ser>
          <c:idx val="1"/>
          <c:order val="1"/>
          <c:tx>
            <c:strRef>
              <c:f>Graphs!$E$3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Graphs!$A$4:$C$9</c:f>
              <c:strCache>
                <c:ptCount val="6"/>
                <c:pt idx="0">
                  <c:v>DCF Perpetuity growth rate </c:v>
                </c:pt>
                <c:pt idx="1">
                  <c:v>DCF Terminal EBITDA</c:v>
                </c:pt>
                <c:pt idx="2">
                  <c:v>PE Ratio</c:v>
                </c:pt>
                <c:pt idx="3">
                  <c:v>EV/EBITDA</c:v>
                </c:pt>
                <c:pt idx="4">
                  <c:v>EV/SALES</c:v>
                </c:pt>
                <c:pt idx="5">
                  <c:v>52 Week Low/High</c:v>
                </c:pt>
              </c:strCache>
            </c:strRef>
          </c:cat>
          <c:val>
            <c:numRef>
              <c:f>Graphs!$E$4:$E$9</c:f>
              <c:numCache>
                <c:formatCode>General</c:formatCode>
                <c:ptCount val="6"/>
                <c:pt idx="0">
                  <c:v>2408.8646218082549</c:v>
                </c:pt>
                <c:pt idx="1">
                  <c:v>625.27412879396184</c:v>
                </c:pt>
                <c:pt idx="2">
                  <c:v>3861.1984800000018</c:v>
                </c:pt>
                <c:pt idx="3">
                  <c:v>354.07656977677834</c:v>
                </c:pt>
                <c:pt idx="4">
                  <c:v>5709.0946009314284</c:v>
                </c:pt>
                <c:pt idx="5">
                  <c:v>6429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9-4AD6-A78D-4E58AB33A2EF}"/>
            </c:ext>
          </c:extLst>
        </c:ser>
        <c:ser>
          <c:idx val="2"/>
          <c:order val="2"/>
          <c:tx>
            <c:strRef>
              <c:f>Graphs!$F$3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0277777777777783"/>
                  <c:y val="4.62962962962971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E19-4AD6-A78D-4E58AB33A2EF}"/>
                </c:ext>
              </c:extLst>
            </c:dLbl>
            <c:dLbl>
              <c:idx val="1"/>
              <c:layout>
                <c:manualLayout>
                  <c:x val="0.13888888888888878"/>
                  <c:y val="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19-4AD6-A78D-4E58AB33A2EF}"/>
                </c:ext>
              </c:extLst>
            </c:dLbl>
            <c:dLbl>
              <c:idx val="2"/>
              <c:layout>
                <c:manualLayout>
                  <c:x val="2.500000000000000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19-4AD6-A78D-4E58AB33A2EF}"/>
                </c:ext>
              </c:extLst>
            </c:dLbl>
            <c:dLbl>
              <c:idx val="3"/>
              <c:layout>
                <c:manualLayout>
                  <c:x val="0.21666666666666656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19-4AD6-A78D-4E58AB33A2EF}"/>
                </c:ext>
              </c:extLst>
            </c:dLbl>
            <c:dLbl>
              <c:idx val="4"/>
              <c:layout>
                <c:manualLayout>
                  <c:x val="7.2222222222222215E-2"/>
                  <c:y val="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E19-4AD6-A78D-4E58AB33A2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Graphs!$A$4:$C$9</c:f>
              <c:strCache>
                <c:ptCount val="6"/>
                <c:pt idx="0">
                  <c:v>DCF Perpetuity growth rate </c:v>
                </c:pt>
                <c:pt idx="1">
                  <c:v>DCF Terminal EBITDA</c:v>
                </c:pt>
                <c:pt idx="2">
                  <c:v>PE Ratio</c:v>
                </c:pt>
                <c:pt idx="3">
                  <c:v>EV/EBITDA</c:v>
                </c:pt>
                <c:pt idx="4">
                  <c:v>EV/SALES</c:v>
                </c:pt>
                <c:pt idx="5">
                  <c:v>52 Week Low/High</c:v>
                </c:pt>
              </c:strCache>
            </c:strRef>
          </c:cat>
          <c:val>
            <c:numRef>
              <c:f>Graphs!$F$4:$F$9</c:f>
              <c:numCache>
                <c:formatCode>General</c:formatCode>
                <c:ptCount val="6"/>
                <c:pt idx="0">
                  <c:v>8832.5036132969326</c:v>
                </c:pt>
                <c:pt idx="1">
                  <c:v>2014.556784150971</c:v>
                </c:pt>
                <c:pt idx="2">
                  <c:v>8358.2220000000016</c:v>
                </c:pt>
                <c:pt idx="3">
                  <c:v>1435.9510197526897</c:v>
                </c:pt>
                <c:pt idx="4">
                  <c:v>7902.9548739360853</c:v>
                </c:pt>
                <c:pt idx="5">
                  <c:v>9420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9-4AD6-A78D-4E58AB33A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24831"/>
        <c:axId val="3620255"/>
      </c:barChart>
      <c:catAx>
        <c:axId val="362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255"/>
        <c:crosses val="autoZero"/>
        <c:auto val="1"/>
        <c:lblAlgn val="ctr"/>
        <c:lblOffset val="100"/>
        <c:noMultiLvlLbl val="0"/>
      </c:catAx>
      <c:valAx>
        <c:axId val="36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Valuation</a:t>
            </a:r>
            <a:r>
              <a:rPr lang="en-IN" baseline="0"/>
              <a:t> of Ramco Systems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Graphs!$L$3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9444444444444445E-2"/>
                  <c:y val="-4.629629629629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0A-4B46-AEEC-20E2D4C8307E}"/>
                </c:ext>
              </c:extLst>
            </c:dLbl>
            <c:dLbl>
              <c:idx val="4"/>
              <c:layout>
                <c:manualLayout>
                  <c:x val="-2.2222222222222223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0A-4B46-AEEC-20E2D4C830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Graphs!$I$4:$K$9</c:f>
              <c:strCache>
                <c:ptCount val="6"/>
                <c:pt idx="0">
                  <c:v>DCF Perpetuity growth rate </c:v>
                </c:pt>
                <c:pt idx="1">
                  <c:v>DCF Terminal EBITDA</c:v>
                </c:pt>
                <c:pt idx="2">
                  <c:v>PE Ratio</c:v>
                </c:pt>
                <c:pt idx="3">
                  <c:v>EV/EBITDA</c:v>
                </c:pt>
                <c:pt idx="4">
                  <c:v>EV/SALES</c:v>
                </c:pt>
                <c:pt idx="5">
                  <c:v>52 Week Low/High</c:v>
                </c:pt>
              </c:strCache>
            </c:strRef>
          </c:cat>
          <c:val>
            <c:numRef>
              <c:f>Graphs!$L$4:$L$9</c:f>
              <c:numCache>
                <c:formatCode>General</c:formatCode>
                <c:ptCount val="6"/>
                <c:pt idx="0">
                  <c:v>99.819000000000003</c:v>
                </c:pt>
                <c:pt idx="1">
                  <c:v>643.58199999999999</c:v>
                </c:pt>
                <c:pt idx="2">
                  <c:v>324.20060000000001</c:v>
                </c:pt>
                <c:pt idx="3">
                  <c:v>229.41</c:v>
                </c:pt>
                <c:pt idx="4">
                  <c:v>178.053</c:v>
                </c:pt>
                <c:pt idx="5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A-4B46-AEEC-20E2D4C8307E}"/>
            </c:ext>
          </c:extLst>
        </c:ser>
        <c:ser>
          <c:idx val="1"/>
          <c:order val="1"/>
          <c:tx>
            <c:strRef>
              <c:f>Graphs!$M$3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Graphs!$I$4:$K$9</c:f>
              <c:strCache>
                <c:ptCount val="6"/>
                <c:pt idx="0">
                  <c:v>DCF Perpetuity growth rate </c:v>
                </c:pt>
                <c:pt idx="1">
                  <c:v>DCF Terminal EBITDA</c:v>
                </c:pt>
                <c:pt idx="2">
                  <c:v>PE Ratio</c:v>
                </c:pt>
                <c:pt idx="3">
                  <c:v>EV/EBITDA</c:v>
                </c:pt>
                <c:pt idx="4">
                  <c:v>EV/SALES</c:v>
                </c:pt>
                <c:pt idx="5">
                  <c:v>52 Week Low/High</c:v>
                </c:pt>
              </c:strCache>
            </c:strRef>
          </c:cat>
          <c:val>
            <c:numRef>
              <c:f>Graphs!$M$4:$M$9</c:f>
              <c:numCache>
                <c:formatCode>General</c:formatCode>
                <c:ptCount val="6"/>
                <c:pt idx="0">
                  <c:v>91.789000000000001</c:v>
                </c:pt>
                <c:pt idx="1">
                  <c:v>185.76599999999996</c:v>
                </c:pt>
                <c:pt idx="2">
                  <c:v>107.22339999999997</c:v>
                </c:pt>
                <c:pt idx="3">
                  <c:v>374.11400000000003</c:v>
                </c:pt>
                <c:pt idx="4">
                  <c:v>673.28899999999999</c:v>
                </c:pt>
                <c:pt idx="5">
                  <c:v>425.25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0A-4B46-AEEC-20E2D4C8307E}"/>
            </c:ext>
          </c:extLst>
        </c:ser>
        <c:ser>
          <c:idx val="2"/>
          <c:order val="2"/>
          <c:tx>
            <c:strRef>
              <c:f>Graphs!$N$3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611111111111111E-2"/>
                  <c:y val="4.62962962962971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0A-4B46-AEEC-20E2D4C830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Graphs!$I$4:$K$9</c:f>
              <c:strCache>
                <c:ptCount val="6"/>
                <c:pt idx="0">
                  <c:v>DCF Perpetuity growth rate </c:v>
                </c:pt>
                <c:pt idx="1">
                  <c:v>DCF Terminal EBITDA</c:v>
                </c:pt>
                <c:pt idx="2">
                  <c:v>PE Ratio</c:v>
                </c:pt>
                <c:pt idx="3">
                  <c:v>EV/EBITDA</c:v>
                </c:pt>
                <c:pt idx="4">
                  <c:v>EV/SALES</c:v>
                </c:pt>
                <c:pt idx="5">
                  <c:v>52 Week Low/High</c:v>
                </c:pt>
              </c:strCache>
            </c:strRef>
          </c:cat>
          <c:val>
            <c:numRef>
              <c:f>Graphs!$N$4:$N$9</c:f>
              <c:numCache>
                <c:formatCode>General</c:formatCode>
                <c:ptCount val="6"/>
                <c:pt idx="0">
                  <c:v>191.608</c:v>
                </c:pt>
                <c:pt idx="1">
                  <c:v>829.34799999999996</c:v>
                </c:pt>
                <c:pt idx="2">
                  <c:v>431.42399999999998</c:v>
                </c:pt>
                <c:pt idx="3">
                  <c:v>603.524</c:v>
                </c:pt>
                <c:pt idx="4">
                  <c:v>851.34199999999998</c:v>
                </c:pt>
                <c:pt idx="5">
                  <c:v>687.25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0A-4B46-AEEC-20E2D4C83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7526463"/>
        <c:axId val="1497531871"/>
      </c:barChart>
      <c:catAx>
        <c:axId val="1497526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531871"/>
        <c:crosses val="autoZero"/>
        <c:auto val="1"/>
        <c:lblAlgn val="ctr"/>
        <c:lblOffset val="100"/>
        <c:noMultiLvlLbl val="0"/>
      </c:catAx>
      <c:valAx>
        <c:axId val="14975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52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Valuation</a:t>
            </a:r>
            <a:r>
              <a:rPr lang="en-IN" baseline="0"/>
              <a:t> of Infobean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Graphs!$T$3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6666666666666718E-2"/>
                  <c:y val="-3.70370370370369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8D9-4726-9BBC-68DED956920C}"/>
                </c:ext>
              </c:extLst>
            </c:dLbl>
            <c:dLbl>
              <c:idx val="1"/>
              <c:layout>
                <c:manualLayout>
                  <c:x val="-2.7777777777778286E-3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D9-4726-9BBC-68DED956920C}"/>
                </c:ext>
              </c:extLst>
            </c:dLbl>
            <c:dLbl>
              <c:idx val="5"/>
              <c:layout>
                <c:manualLayout>
                  <c:x val="-2.5000000000000001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D9-4726-9BBC-68DED95692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Graphs!$Q$4:$S$9</c:f>
              <c:strCache>
                <c:ptCount val="6"/>
                <c:pt idx="0">
                  <c:v>DCF Perpetuity growth rate </c:v>
                </c:pt>
                <c:pt idx="1">
                  <c:v>DCF Terminal EBITDA</c:v>
                </c:pt>
                <c:pt idx="2">
                  <c:v>PE Ratio</c:v>
                </c:pt>
                <c:pt idx="3">
                  <c:v>EV/EBITDA</c:v>
                </c:pt>
                <c:pt idx="4">
                  <c:v>EV/SALES</c:v>
                </c:pt>
                <c:pt idx="5">
                  <c:v>52 Week Low/High</c:v>
                </c:pt>
              </c:strCache>
            </c:strRef>
          </c:cat>
          <c:val>
            <c:numRef>
              <c:f>Graphs!$T$4:$T$9</c:f>
              <c:numCache>
                <c:formatCode>General</c:formatCode>
                <c:ptCount val="6"/>
                <c:pt idx="0">
                  <c:v>85.179000000000002</c:v>
                </c:pt>
                <c:pt idx="1">
                  <c:v>59.509</c:v>
                </c:pt>
                <c:pt idx="2">
                  <c:v>735.577</c:v>
                </c:pt>
                <c:pt idx="3">
                  <c:v>583.702</c:v>
                </c:pt>
                <c:pt idx="4">
                  <c:v>406.447</c:v>
                </c:pt>
                <c:pt idx="5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9-4726-9BBC-68DED956920C}"/>
            </c:ext>
          </c:extLst>
        </c:ser>
        <c:ser>
          <c:idx val="1"/>
          <c:order val="1"/>
          <c:tx>
            <c:strRef>
              <c:f>Graphs!$U$3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Graphs!$Q$4:$S$9</c:f>
              <c:strCache>
                <c:ptCount val="6"/>
                <c:pt idx="0">
                  <c:v>DCF Perpetuity growth rate </c:v>
                </c:pt>
                <c:pt idx="1">
                  <c:v>DCF Terminal EBITDA</c:v>
                </c:pt>
                <c:pt idx="2">
                  <c:v>PE Ratio</c:v>
                </c:pt>
                <c:pt idx="3">
                  <c:v>EV/EBITDA</c:v>
                </c:pt>
                <c:pt idx="4">
                  <c:v>EV/SALES</c:v>
                </c:pt>
                <c:pt idx="5">
                  <c:v>52 Week Low/High</c:v>
                </c:pt>
              </c:strCache>
            </c:strRef>
          </c:cat>
          <c:val>
            <c:numRef>
              <c:f>Graphs!$U$4:$U$9</c:f>
              <c:numCache>
                <c:formatCode>General</c:formatCode>
                <c:ptCount val="6"/>
                <c:pt idx="0">
                  <c:v>8.9740000000000038</c:v>
                </c:pt>
                <c:pt idx="1">
                  <c:v>124.152</c:v>
                </c:pt>
                <c:pt idx="2">
                  <c:v>82.823000000000093</c:v>
                </c:pt>
                <c:pt idx="3">
                  <c:v>78.437000000000012</c:v>
                </c:pt>
                <c:pt idx="4">
                  <c:v>8.2889999999999873</c:v>
                </c:pt>
                <c:pt idx="5">
                  <c:v>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9-4726-9BBC-68DED956920C}"/>
            </c:ext>
          </c:extLst>
        </c:ser>
        <c:ser>
          <c:idx val="2"/>
          <c:order val="2"/>
          <c:tx>
            <c:strRef>
              <c:f>Graphs!$V$3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5"/>
                  <c:y val="4.62962962962971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D9-4726-9BBC-68DED956920C}"/>
                </c:ext>
              </c:extLst>
            </c:dLbl>
            <c:dLbl>
              <c:idx val="1"/>
              <c:layout>
                <c:manualLayout>
                  <c:x val="0.13888888888888878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D9-4726-9BBC-68DED956920C}"/>
                </c:ext>
              </c:extLst>
            </c:dLbl>
            <c:dLbl>
              <c:idx val="4"/>
              <c:layout>
                <c:manualLayout>
                  <c:x val="6.944444444444444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8D9-4726-9BBC-68DED95692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Graphs!$Q$4:$S$9</c:f>
              <c:strCache>
                <c:ptCount val="6"/>
                <c:pt idx="0">
                  <c:v>DCF Perpetuity growth rate </c:v>
                </c:pt>
                <c:pt idx="1">
                  <c:v>DCF Terminal EBITDA</c:v>
                </c:pt>
                <c:pt idx="2">
                  <c:v>PE Ratio</c:v>
                </c:pt>
                <c:pt idx="3">
                  <c:v>EV/EBITDA</c:v>
                </c:pt>
                <c:pt idx="4">
                  <c:v>EV/SALES</c:v>
                </c:pt>
                <c:pt idx="5">
                  <c:v>52 Week Low/High</c:v>
                </c:pt>
              </c:strCache>
            </c:strRef>
          </c:cat>
          <c:val>
            <c:numRef>
              <c:f>Graphs!$V$4:$V$9</c:f>
              <c:numCache>
                <c:formatCode>General</c:formatCode>
                <c:ptCount val="6"/>
                <c:pt idx="0">
                  <c:v>94.153000000000006</c:v>
                </c:pt>
                <c:pt idx="1">
                  <c:v>183.661</c:v>
                </c:pt>
                <c:pt idx="2">
                  <c:v>818.40000000000009</c:v>
                </c:pt>
                <c:pt idx="3">
                  <c:v>662.13900000000001</c:v>
                </c:pt>
                <c:pt idx="4">
                  <c:v>414.73599999999999</c:v>
                </c:pt>
                <c:pt idx="5">
                  <c:v>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9-4726-9BBC-68DED9569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10271"/>
        <c:axId val="3588639"/>
      </c:barChart>
      <c:catAx>
        <c:axId val="3610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639"/>
        <c:crosses val="autoZero"/>
        <c:auto val="1"/>
        <c:lblAlgn val="ctr"/>
        <c:lblOffset val="100"/>
        <c:noMultiLvlLbl val="0"/>
      </c:catAx>
      <c:valAx>
        <c:axId val="358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Valuation</a:t>
            </a:r>
            <a:r>
              <a:rPr lang="en-IN" baseline="0"/>
              <a:t> of LNT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Graphs!$D$35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8333333333333334E-2"/>
                  <c:y val="-4.629629629629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D0-4951-9BF7-3B56E508056D}"/>
                </c:ext>
              </c:extLst>
            </c:dLbl>
            <c:dLbl>
              <c:idx val="1"/>
              <c:layout>
                <c:manualLayout>
                  <c:x val="-2.777777777777777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1D0-4951-9BF7-3B56E508056D}"/>
                </c:ext>
              </c:extLst>
            </c:dLbl>
            <c:dLbl>
              <c:idx val="3"/>
              <c:layout>
                <c:manualLayout>
                  <c:x val="-2.7777777777778286E-3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1D0-4951-9BF7-3B56E508056D}"/>
                </c:ext>
              </c:extLst>
            </c:dLbl>
            <c:dLbl>
              <c:idx val="4"/>
              <c:layout>
                <c:manualLayout>
                  <c:x val="-2.500000000000005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1D0-4951-9BF7-3B56E50805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Graphs!$A$36:$C$41</c:f>
              <c:strCache>
                <c:ptCount val="6"/>
                <c:pt idx="0">
                  <c:v>DCF Perpetuity growth rate </c:v>
                </c:pt>
                <c:pt idx="1">
                  <c:v>DCF Terminal EBITDA</c:v>
                </c:pt>
                <c:pt idx="2">
                  <c:v>PE Ratio</c:v>
                </c:pt>
                <c:pt idx="3">
                  <c:v>EV/EBITDA</c:v>
                </c:pt>
                <c:pt idx="4">
                  <c:v>EV/SALES</c:v>
                </c:pt>
                <c:pt idx="5">
                  <c:v>52 Week Low/High</c:v>
                </c:pt>
              </c:strCache>
            </c:strRef>
          </c:cat>
          <c:val>
            <c:numRef>
              <c:f>Graphs!$D$36:$D$41</c:f>
              <c:numCache>
                <c:formatCode>General</c:formatCode>
                <c:ptCount val="6"/>
                <c:pt idx="0">
                  <c:v>1003.169</c:v>
                </c:pt>
                <c:pt idx="1">
                  <c:v>1257.1610000000001</c:v>
                </c:pt>
                <c:pt idx="2">
                  <c:v>4710.4309999999996</c:v>
                </c:pt>
                <c:pt idx="3">
                  <c:v>976.93</c:v>
                </c:pt>
                <c:pt idx="4">
                  <c:v>2541.6390000000001</c:v>
                </c:pt>
                <c:pt idx="5">
                  <c:v>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0-4951-9BF7-3B56E508056D}"/>
            </c:ext>
          </c:extLst>
        </c:ser>
        <c:ser>
          <c:idx val="1"/>
          <c:order val="1"/>
          <c:tx>
            <c:strRef>
              <c:f>Graphs!$E$35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Graphs!$A$36:$C$41</c:f>
              <c:strCache>
                <c:ptCount val="6"/>
                <c:pt idx="0">
                  <c:v>DCF Perpetuity growth rate </c:v>
                </c:pt>
                <c:pt idx="1">
                  <c:v>DCF Terminal EBITDA</c:v>
                </c:pt>
                <c:pt idx="2">
                  <c:v>PE Ratio</c:v>
                </c:pt>
                <c:pt idx="3">
                  <c:v>EV/EBITDA</c:v>
                </c:pt>
                <c:pt idx="4">
                  <c:v>EV/SALES</c:v>
                </c:pt>
                <c:pt idx="5">
                  <c:v>52 Week Low/High</c:v>
                </c:pt>
              </c:strCache>
            </c:strRef>
          </c:cat>
          <c:val>
            <c:numRef>
              <c:f>Graphs!$E$36:$E$41</c:f>
              <c:numCache>
                <c:formatCode>General</c:formatCode>
                <c:ptCount val="6"/>
                <c:pt idx="0">
                  <c:v>299.63099999999997</c:v>
                </c:pt>
                <c:pt idx="1">
                  <c:v>365.90999999999985</c:v>
                </c:pt>
                <c:pt idx="2">
                  <c:v>530.3690000000006</c:v>
                </c:pt>
                <c:pt idx="3">
                  <c:v>645.01100000000008</c:v>
                </c:pt>
                <c:pt idx="4">
                  <c:v>3329.4709999999995</c:v>
                </c:pt>
                <c:pt idx="5">
                  <c:v>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0-4951-9BF7-3B56E508056D}"/>
            </c:ext>
          </c:extLst>
        </c:ser>
        <c:ser>
          <c:idx val="2"/>
          <c:order val="2"/>
          <c:tx>
            <c:strRef>
              <c:f>Graphs!$F$35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2222222222222222"/>
                  <c:y val="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D0-4951-9BF7-3B56E508056D}"/>
                </c:ext>
              </c:extLst>
            </c:dLbl>
            <c:dLbl>
              <c:idx val="1"/>
              <c:layout>
                <c:manualLayout>
                  <c:x val="0.13888888888888878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D0-4951-9BF7-3B56E508056D}"/>
                </c:ext>
              </c:extLst>
            </c:dLbl>
            <c:dLbl>
              <c:idx val="3"/>
              <c:layout>
                <c:manualLayout>
                  <c:x val="0.18055555555555555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1D0-4951-9BF7-3B56E50805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Graphs!$A$36:$C$41</c:f>
              <c:strCache>
                <c:ptCount val="6"/>
                <c:pt idx="0">
                  <c:v>DCF Perpetuity growth rate </c:v>
                </c:pt>
                <c:pt idx="1">
                  <c:v>DCF Terminal EBITDA</c:v>
                </c:pt>
                <c:pt idx="2">
                  <c:v>PE Ratio</c:v>
                </c:pt>
                <c:pt idx="3">
                  <c:v>EV/EBITDA</c:v>
                </c:pt>
                <c:pt idx="4">
                  <c:v>EV/SALES</c:v>
                </c:pt>
                <c:pt idx="5">
                  <c:v>52 Week Low/High</c:v>
                </c:pt>
              </c:strCache>
            </c:strRef>
          </c:cat>
          <c:val>
            <c:numRef>
              <c:f>Graphs!$F$36:$F$41</c:f>
              <c:numCache>
                <c:formatCode>General</c:formatCode>
                <c:ptCount val="6"/>
                <c:pt idx="0">
                  <c:v>1302.8</c:v>
                </c:pt>
                <c:pt idx="1">
                  <c:v>1623.0709999999999</c:v>
                </c:pt>
                <c:pt idx="2">
                  <c:v>5240.8</c:v>
                </c:pt>
                <c:pt idx="3">
                  <c:v>1621.941</c:v>
                </c:pt>
                <c:pt idx="4">
                  <c:v>5871.11</c:v>
                </c:pt>
                <c:pt idx="5">
                  <c:v>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D0-4951-9BF7-3B56E5080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95295"/>
        <c:axId val="3613183"/>
      </c:barChart>
      <c:catAx>
        <c:axId val="3595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183"/>
        <c:crosses val="autoZero"/>
        <c:auto val="1"/>
        <c:lblAlgn val="ctr"/>
        <c:lblOffset val="100"/>
        <c:noMultiLvlLbl val="0"/>
      </c:catAx>
      <c:valAx>
        <c:axId val="361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Valuation</a:t>
            </a:r>
            <a:r>
              <a:rPr lang="en-IN" baseline="0"/>
              <a:t> of TCS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Graphs!$L$35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388888888888894E-2"/>
                  <c:y val="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D5D-4CF6-B7E2-9B44E38CA535}"/>
                </c:ext>
              </c:extLst>
            </c:dLbl>
            <c:dLbl>
              <c:idx val="2"/>
              <c:layout>
                <c:manualLayout>
                  <c:x val="-4.444444444444444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D5D-4CF6-B7E2-9B44E38CA535}"/>
                </c:ext>
              </c:extLst>
            </c:dLbl>
            <c:dLbl>
              <c:idx val="3"/>
              <c:layout>
                <c:manualLayout>
                  <c:x val="-8.3333333333333835E-3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D5D-4CF6-B7E2-9B44E38CA5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Graphs!$I$36:$K$41</c:f>
              <c:strCache>
                <c:ptCount val="6"/>
                <c:pt idx="0">
                  <c:v>DCF Perpetuity growth rate </c:v>
                </c:pt>
                <c:pt idx="1">
                  <c:v>DCF Terminal EBITDA</c:v>
                </c:pt>
                <c:pt idx="2">
                  <c:v>PE Ratio</c:v>
                </c:pt>
                <c:pt idx="3">
                  <c:v>EV/EBITDA</c:v>
                </c:pt>
                <c:pt idx="4">
                  <c:v>EV/SALES</c:v>
                </c:pt>
                <c:pt idx="5">
                  <c:v>52 Week Low/High</c:v>
                </c:pt>
              </c:strCache>
            </c:strRef>
          </c:cat>
          <c:val>
            <c:numRef>
              <c:f>Graphs!$L$36:$L$41</c:f>
              <c:numCache>
                <c:formatCode>General</c:formatCode>
                <c:ptCount val="6"/>
                <c:pt idx="0">
                  <c:v>1928.124</c:v>
                </c:pt>
                <c:pt idx="1">
                  <c:v>2194.123</c:v>
                </c:pt>
                <c:pt idx="2">
                  <c:v>1398.8820000000001</c:v>
                </c:pt>
                <c:pt idx="3">
                  <c:v>1569.2280000000001</c:v>
                </c:pt>
                <c:pt idx="4">
                  <c:v>2577.607</c:v>
                </c:pt>
                <c:pt idx="5">
                  <c:v>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D-4CF6-B7E2-9B44E38CA535}"/>
            </c:ext>
          </c:extLst>
        </c:ser>
        <c:ser>
          <c:idx val="1"/>
          <c:order val="1"/>
          <c:tx>
            <c:strRef>
              <c:f>Graphs!$M$35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Graphs!$I$36:$K$41</c:f>
              <c:strCache>
                <c:ptCount val="6"/>
                <c:pt idx="0">
                  <c:v>DCF Perpetuity growth rate </c:v>
                </c:pt>
                <c:pt idx="1">
                  <c:v>DCF Terminal EBITDA</c:v>
                </c:pt>
                <c:pt idx="2">
                  <c:v>PE Ratio</c:v>
                </c:pt>
                <c:pt idx="3">
                  <c:v>EV/EBITDA</c:v>
                </c:pt>
                <c:pt idx="4">
                  <c:v>EV/SALES</c:v>
                </c:pt>
                <c:pt idx="5">
                  <c:v>52 Week Low/High</c:v>
                </c:pt>
              </c:strCache>
            </c:strRef>
          </c:cat>
          <c:val>
            <c:numRef>
              <c:f>Graphs!$M$36:$M$41</c:f>
              <c:numCache>
                <c:formatCode>General</c:formatCode>
                <c:ptCount val="6"/>
                <c:pt idx="0">
                  <c:v>133.60200000000009</c:v>
                </c:pt>
                <c:pt idx="1">
                  <c:v>1977.2149999999997</c:v>
                </c:pt>
                <c:pt idx="2">
                  <c:v>24.627999999999929</c:v>
                </c:pt>
                <c:pt idx="3">
                  <c:v>513.58100000000013</c:v>
                </c:pt>
                <c:pt idx="4">
                  <c:v>719.83199999999988</c:v>
                </c:pt>
                <c:pt idx="5">
                  <c:v>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5D-4CF6-B7E2-9B44E38CA535}"/>
            </c:ext>
          </c:extLst>
        </c:ser>
        <c:ser>
          <c:idx val="2"/>
          <c:order val="2"/>
          <c:tx>
            <c:strRef>
              <c:f>Graphs!$N$35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3333333333333229E-2"/>
                  <c:y val="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D5D-4CF6-B7E2-9B44E38CA535}"/>
                </c:ext>
              </c:extLst>
            </c:dLbl>
            <c:dLbl>
              <c:idx val="2"/>
              <c:layout>
                <c:manualLayout>
                  <c:x val="0.13055555555555556"/>
                  <c:y val="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5D-4CF6-B7E2-9B44E38CA535}"/>
                </c:ext>
              </c:extLst>
            </c:dLbl>
            <c:dLbl>
              <c:idx val="3"/>
              <c:layout>
                <c:manualLayout>
                  <c:x val="9.4444444444444442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5D-4CF6-B7E2-9B44E38CA5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Graphs!$I$36:$K$41</c:f>
              <c:strCache>
                <c:ptCount val="6"/>
                <c:pt idx="0">
                  <c:v>DCF Perpetuity growth rate </c:v>
                </c:pt>
                <c:pt idx="1">
                  <c:v>DCF Terminal EBITDA</c:v>
                </c:pt>
                <c:pt idx="2">
                  <c:v>PE Ratio</c:v>
                </c:pt>
                <c:pt idx="3">
                  <c:v>EV/EBITDA</c:v>
                </c:pt>
                <c:pt idx="4">
                  <c:v>EV/SALES</c:v>
                </c:pt>
                <c:pt idx="5">
                  <c:v>52 Week Low/High</c:v>
                </c:pt>
              </c:strCache>
            </c:strRef>
          </c:cat>
          <c:val>
            <c:numRef>
              <c:f>Graphs!$N$36:$N$41</c:f>
              <c:numCache>
                <c:formatCode>General</c:formatCode>
                <c:ptCount val="6"/>
                <c:pt idx="0">
                  <c:v>2061.7260000000001</c:v>
                </c:pt>
                <c:pt idx="1">
                  <c:v>4171.3379999999997</c:v>
                </c:pt>
                <c:pt idx="2">
                  <c:v>1423.51</c:v>
                </c:pt>
                <c:pt idx="3">
                  <c:v>2082.8090000000002</c:v>
                </c:pt>
                <c:pt idx="4">
                  <c:v>3297.4389999999999</c:v>
                </c:pt>
                <c:pt idx="5">
                  <c:v>4043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5D-4CF6-B7E2-9B44E38CA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47295"/>
        <c:axId val="3643551"/>
      </c:barChart>
      <c:catAx>
        <c:axId val="3647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551"/>
        <c:crosses val="autoZero"/>
        <c:auto val="1"/>
        <c:lblAlgn val="ctr"/>
        <c:lblOffset val="100"/>
        <c:noMultiLvlLbl val="0"/>
      </c:catAx>
      <c:valAx>
        <c:axId val="364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555956</xdr:colOff>
      <xdr:row>8</xdr:row>
      <xdr:rowOff>153620</xdr:rowOff>
    </xdr:from>
    <xdr:to>
      <xdr:col>9</xdr:col>
      <xdr:colOff>241402</xdr:colOff>
      <xdr:row>26</xdr:row>
      <xdr:rowOff>190196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A1ABC3-6FA0-4B08-9CB7-1080626F2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5620" y="1697127"/>
          <a:ext cx="5947257" cy="3591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11</xdr:row>
      <xdr:rowOff>36575</xdr:rowOff>
    </xdr:from>
    <xdr:to>
      <xdr:col>8</xdr:col>
      <xdr:colOff>36576</xdr:colOff>
      <xdr:row>29</xdr:row>
      <xdr:rowOff>58520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860B2-751F-4209-8E12-49279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124358</xdr:colOff>
      <xdr:row>10</xdr:row>
      <xdr:rowOff>95097</xdr:rowOff>
    </xdr:from>
    <xdr:to>
      <xdr:col>15</xdr:col>
      <xdr:colOff>343814</xdr:colOff>
      <xdr:row>28</xdr:row>
      <xdr:rowOff>109727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CCD21B-3153-4C4C-8A3C-D146EBABB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534009</xdr:colOff>
      <xdr:row>11</xdr:row>
      <xdr:rowOff>29261</xdr:rowOff>
    </xdr:from>
    <xdr:to>
      <xdr:col>23</xdr:col>
      <xdr:colOff>570585</xdr:colOff>
      <xdr:row>28</xdr:row>
      <xdr:rowOff>36576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4A454F-09DA-4305-900A-2BCF3D5AB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285293</xdr:colOff>
      <xdr:row>42</xdr:row>
      <xdr:rowOff>95096</xdr:rowOff>
    </xdr:from>
    <xdr:to>
      <xdr:col>8</xdr:col>
      <xdr:colOff>7315</xdr:colOff>
      <xdr:row>59</xdr:row>
      <xdr:rowOff>102411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28DB82-9706-41D6-A437-243D1CFFC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416965</xdr:colOff>
      <xdr:row>42</xdr:row>
      <xdr:rowOff>29260</xdr:rowOff>
    </xdr:from>
    <xdr:to>
      <xdr:col>16</xdr:col>
      <xdr:colOff>51205</xdr:colOff>
      <xdr:row>59</xdr:row>
      <xdr:rowOff>36575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F328C8-BD1A-412F-970B-97F7D227F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opstockresearch.com/INDIAN_STOCKS/COMPUTERS_SOFTWARE/FundamentalAnalysisOfInfoBeans_Technologies_Lt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G3:J16"/>
  <sheetViews>
    <sheetView tabSelected="1" workbookViewId="0">
      <selection activeCell="E19" sqref="E19"/>
    </sheetView>
  </sheetViews>
  <sheetFormatPr defaultColWidth="12.6640625" defaultRowHeight="15.7" customHeight="1"/>
  <cols>
    <col min="7" max="7" width="36" customWidth="1"/>
    <col min="8" max="8" width="33.77734375" customWidth="1"/>
  </cols>
  <sheetData>
    <row r="3" spans="7:10" ht="12.7">
      <c r="G3" s="500" t="s">
        <v>285</v>
      </c>
      <c r="H3" s="501"/>
      <c r="I3" s="501"/>
      <c r="J3" s="501"/>
    </row>
    <row r="4" spans="7:10" ht="15.7" customHeight="1">
      <c r="G4" s="501"/>
      <c r="H4" s="501"/>
      <c r="I4" s="501"/>
      <c r="J4" s="501"/>
    </row>
    <row r="5" spans="7:10" ht="15.7" customHeight="1">
      <c r="G5" s="501"/>
      <c r="H5" s="501"/>
      <c r="I5" s="501"/>
      <c r="J5" s="501"/>
    </row>
    <row r="6" spans="7:10" ht="15.7" customHeight="1">
      <c r="G6" s="501"/>
      <c r="H6" s="501"/>
      <c r="I6" s="501"/>
      <c r="J6" s="501"/>
    </row>
    <row r="7" spans="7:10" ht="15.7" customHeight="1">
      <c r="G7" s="501"/>
      <c r="H7" s="501"/>
      <c r="I7" s="501"/>
      <c r="J7" s="501"/>
    </row>
    <row r="8" spans="7:10" ht="15.7" customHeight="1">
      <c r="G8" s="501"/>
      <c r="H8" s="501"/>
      <c r="I8" s="501"/>
      <c r="J8" s="501"/>
    </row>
    <row r="9" spans="7:10" ht="15.7" customHeight="1" thickBot="1">
      <c r="G9" s="1"/>
    </row>
    <row r="10" spans="7:10" ht="15.7" customHeight="1" thickTop="1" thickBot="1">
      <c r="H10" s="2"/>
      <c r="I10" s="2"/>
    </row>
    <row r="11" spans="7:10" ht="15.7" customHeight="1" thickTop="1" thickBot="1">
      <c r="G11" s="3"/>
      <c r="H11" s="3"/>
      <c r="I11" s="3"/>
    </row>
    <row r="12" spans="7:10" ht="15.7" customHeight="1">
      <c r="G12" s="3"/>
      <c r="H12" s="3"/>
      <c r="I12" s="3"/>
    </row>
    <row r="13" spans="7:10" ht="15.7" customHeight="1">
      <c r="G13" s="3"/>
      <c r="H13" s="3"/>
      <c r="I13" s="3"/>
    </row>
    <row r="14" spans="7:10" ht="15.7" customHeight="1">
      <c r="G14" s="3"/>
      <c r="H14" s="3"/>
      <c r="I14" s="3"/>
    </row>
    <row r="15" spans="7:10" ht="15.7" customHeight="1">
      <c r="G15" s="3"/>
      <c r="H15" s="3"/>
      <c r="I15" s="3"/>
    </row>
    <row r="16" spans="7:10" ht="15.7" customHeight="1">
      <c r="G16" s="3"/>
      <c r="H16" s="3"/>
      <c r="I16" s="3"/>
    </row>
  </sheetData>
  <mergeCells count="1">
    <mergeCell ref="G3:J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AFEF-3F48-45F5-8B96-419BCB67197B}">
  <dimension ref="A1:S103"/>
  <sheetViews>
    <sheetView topLeftCell="A58" zoomScale="74" zoomScaleNormal="85" workbookViewId="0">
      <selection activeCell="E102" sqref="E102"/>
    </sheetView>
  </sheetViews>
  <sheetFormatPr defaultRowHeight="12.7"/>
  <cols>
    <col min="1" max="1" width="29" customWidth="1"/>
    <col min="2" max="2" width="21.109375" customWidth="1"/>
    <col min="3" max="3" width="8.88671875" customWidth="1"/>
    <col min="4" max="4" width="16.109375" customWidth="1"/>
    <col min="5" max="5" width="23.88671875" customWidth="1"/>
    <col min="11" max="11" width="17.21875" customWidth="1"/>
  </cols>
  <sheetData>
    <row r="1" spans="1:7" ht="14.4" thickBot="1">
      <c r="A1" s="68" t="s">
        <v>98</v>
      </c>
      <c r="B1" s="64"/>
      <c r="C1" s="64"/>
      <c r="D1" s="64"/>
      <c r="E1" s="64"/>
      <c r="F1" s="64"/>
      <c r="G1" s="64"/>
    </row>
    <row r="2" spans="1:7" ht="15.55" thickTop="1" thickBot="1">
      <c r="A2" s="69" t="s">
        <v>99</v>
      </c>
      <c r="B2" s="41">
        <f>LNT!F10</f>
        <v>5301.1</v>
      </c>
      <c r="C2" s="64"/>
      <c r="D2" s="64" t="s">
        <v>96</v>
      </c>
      <c r="E2" s="64"/>
      <c r="F2" s="75">
        <f>'INFOBEANS TECHNOLOGIES LIMITED'!J42</f>
        <v>0.19388</v>
      </c>
      <c r="G2" s="64"/>
    </row>
    <row r="3" spans="1:7" ht="13.25" thickTop="1">
      <c r="A3" s="69" t="s">
        <v>100</v>
      </c>
      <c r="B3" s="71">
        <f>LNT!J33</f>
        <v>0.19454250660034278</v>
      </c>
      <c r="C3" s="64"/>
      <c r="D3" s="64" t="s">
        <v>97</v>
      </c>
      <c r="E3" s="64"/>
      <c r="F3" s="75">
        <f>'INFOBEANS TECHNOLOGIES LIMITED'!J43</f>
        <v>0.72977499999999995</v>
      </c>
      <c r="G3" s="64"/>
    </row>
    <row r="4" spans="1:7">
      <c r="A4" s="69" t="s">
        <v>101</v>
      </c>
      <c r="B4" s="71">
        <f>LNT!J34</f>
        <v>0.19129597010741586</v>
      </c>
      <c r="C4" s="64"/>
      <c r="D4" s="64"/>
      <c r="E4" s="64"/>
      <c r="F4" s="64"/>
      <c r="G4" s="64"/>
    </row>
    <row r="5" spans="1:7" ht="16.149999999999999">
      <c r="A5" s="69" t="s">
        <v>102</v>
      </c>
      <c r="B5" s="71">
        <f>LNT!J35</f>
        <v>0.14194916604727623</v>
      </c>
      <c r="C5" s="64"/>
      <c r="D5" s="64"/>
      <c r="E5" s="64"/>
      <c r="F5" s="64"/>
      <c r="G5" s="64"/>
    </row>
    <row r="6" spans="1:7">
      <c r="A6" s="69" t="s">
        <v>92</v>
      </c>
      <c r="B6" s="71">
        <f>LNT!J37</f>
        <v>2.3013394516616464E-2</v>
      </c>
      <c r="C6" s="64"/>
      <c r="D6" s="64"/>
      <c r="E6" s="64"/>
      <c r="F6" s="64"/>
      <c r="G6" s="64"/>
    </row>
    <row r="7" spans="1:7">
      <c r="A7" s="69" t="s">
        <v>103</v>
      </c>
      <c r="B7" s="71">
        <f>LNT!J39</f>
        <v>-0.1067515006474347</v>
      </c>
      <c r="C7" s="64"/>
      <c r="D7" s="64"/>
      <c r="E7" s="64"/>
      <c r="F7" s="64"/>
      <c r="G7" s="64"/>
    </row>
    <row r="8" spans="1:7">
      <c r="A8" s="69" t="s">
        <v>77</v>
      </c>
      <c r="B8" s="71">
        <f>LNT!J40</f>
        <v>0.23324227173339321</v>
      </c>
      <c r="C8" s="64"/>
      <c r="D8" s="64"/>
      <c r="E8" s="64"/>
      <c r="F8" s="64"/>
      <c r="G8" s="64"/>
    </row>
    <row r="9" spans="1:7">
      <c r="A9" s="69" t="s">
        <v>104</v>
      </c>
      <c r="B9" s="70">
        <f>LNT!F22</f>
        <v>565.4</v>
      </c>
      <c r="C9" s="64"/>
      <c r="D9" s="64"/>
      <c r="E9" s="64"/>
      <c r="F9" s="64"/>
      <c r="G9" s="64"/>
    </row>
    <row r="10" spans="1:7" ht="13.85">
      <c r="A10" s="72" t="s">
        <v>105</v>
      </c>
      <c r="B10" s="73"/>
      <c r="C10" s="72">
        <v>2020</v>
      </c>
      <c r="D10" s="72">
        <v>2021</v>
      </c>
      <c r="E10" s="72">
        <v>2022</v>
      </c>
      <c r="F10" s="72">
        <v>2023</v>
      </c>
      <c r="G10" s="72">
        <v>2024</v>
      </c>
    </row>
    <row r="11" spans="1:7">
      <c r="A11" s="64" t="s">
        <v>73</v>
      </c>
      <c r="B11" s="64"/>
      <c r="C11" s="64">
        <f>B2*(1+$B$3)</f>
        <v>6332.3892817390779</v>
      </c>
      <c r="D11" s="64">
        <f>C11*(1+$B$3)</f>
        <v>7564.3081653777426</v>
      </c>
      <c r="E11" s="64">
        <f>D11*(1+$B$3)</f>
        <v>9035.8876365677697</v>
      </c>
      <c r="F11" s="64">
        <f>E11*(1+$B$3)</f>
        <v>10793.751866744711</v>
      </c>
      <c r="G11" s="64">
        <f>F11*(1+$B$3)</f>
        <v>12893.595410523356</v>
      </c>
    </row>
    <row r="12" spans="1:7">
      <c r="A12" s="64" t="s">
        <v>39</v>
      </c>
      <c r="B12" s="64"/>
      <c r="C12" s="64">
        <f>$B$4*C11</f>
        <v>1211.3605507480793</v>
      </c>
      <c r="D12" s="64">
        <f>$B$4*D11</f>
        <v>1447.0216686873823</v>
      </c>
      <c r="E12" s="64">
        <f>$B$4*E11</f>
        <v>1728.5288912188366</v>
      </c>
      <c r="F12" s="64">
        <f>$B$4*F11</f>
        <v>2064.8012344476606</v>
      </c>
      <c r="G12" s="64">
        <f>$B$4*G11</f>
        <v>2466.4928422285902</v>
      </c>
    </row>
    <row r="13" spans="1:7">
      <c r="A13" s="64" t="s">
        <v>106</v>
      </c>
      <c r="B13" s="64"/>
      <c r="C13" s="64">
        <f>$B$5*B19</f>
        <v>80.258058483129972</v>
      </c>
      <c r="D13" s="64">
        <f>$B$5*C19</f>
        <v>89.551713726327151</v>
      </c>
      <c r="E13" s="64">
        <f>$B$5*D19</f>
        <v>101.55049139336177</v>
      </c>
      <c r="F13" s="64">
        <f>$B$5*E19</f>
        <v>116.65330856084516</v>
      </c>
      <c r="G13" s="64">
        <f>$B$5*F19</f>
        <v>135.3547650392826</v>
      </c>
    </row>
    <row r="14" spans="1:7">
      <c r="A14" s="64" t="s">
        <v>47</v>
      </c>
      <c r="B14" s="64"/>
      <c r="C14" s="64">
        <f>C12-C13</f>
        <v>1131.1024922649492</v>
      </c>
      <c r="D14" s="64">
        <f>D12-D13</f>
        <v>1357.4699549610552</v>
      </c>
      <c r="E14" s="64">
        <f>E12-E13</f>
        <v>1626.9783998254748</v>
      </c>
      <c r="F14" s="64">
        <f>F12-F13</f>
        <v>1948.1479258868155</v>
      </c>
      <c r="G14" s="64">
        <f>G12-G13</f>
        <v>2331.1380771893078</v>
      </c>
    </row>
    <row r="15" spans="1:7">
      <c r="A15" s="64" t="s">
        <v>107</v>
      </c>
      <c r="B15" s="64"/>
      <c r="C15" s="64">
        <f>C14*(1-$B$8)</f>
        <v>867.28157740576967</v>
      </c>
      <c r="D15" s="64">
        <f>D14*(1-$B$8)</f>
        <v>1040.8505788561117</v>
      </c>
      <c r="E15" s="64">
        <f>E14*(1-$B$8)</f>
        <v>1247.4982617890203</v>
      </c>
      <c r="F15" s="64">
        <f>F14*(1-$B$8)</f>
        <v>1493.7574779802767</v>
      </c>
      <c r="G15" s="64">
        <f>G14*(1-$B$8)</f>
        <v>1787.4181363414596</v>
      </c>
    </row>
    <row r="16" spans="1:7">
      <c r="A16" s="64"/>
      <c r="B16" s="64"/>
      <c r="C16" s="64"/>
      <c r="D16" s="64"/>
      <c r="E16" s="64"/>
      <c r="F16" s="64"/>
      <c r="G16" s="64"/>
    </row>
    <row r="17" spans="1:7" ht="13.85">
      <c r="A17" s="72" t="s">
        <v>108</v>
      </c>
      <c r="B17" s="72">
        <v>2019</v>
      </c>
      <c r="C17" s="72">
        <v>2020</v>
      </c>
      <c r="D17" s="72">
        <v>2021</v>
      </c>
      <c r="E17" s="72">
        <v>2022</v>
      </c>
      <c r="F17" s="72">
        <v>2023</v>
      </c>
      <c r="G17" s="72">
        <v>2024</v>
      </c>
    </row>
    <row r="18" spans="1:7">
      <c r="A18" s="64" t="s">
        <v>94</v>
      </c>
      <c r="B18" s="64">
        <f>LNT!F38</f>
        <v>233.89999999999998</v>
      </c>
      <c r="C18" s="64">
        <f>$B$7*C11</f>
        <v>-675.99205850937778</v>
      </c>
      <c r="D18" s="64">
        <f>$B$7*D11</f>
        <v>-807.50124801371771</v>
      </c>
      <c r="E18" s="64">
        <f>$B$7*E11</f>
        <v>-964.59456488521153</v>
      </c>
      <c r="F18" s="64">
        <f>$B$7*F11</f>
        <v>-1152.2492093910475</v>
      </c>
      <c r="G18" s="64">
        <f>$B$7*G11</f>
        <v>-1376.4106588142452</v>
      </c>
    </row>
    <row r="19" spans="1:7">
      <c r="A19" s="64" t="s">
        <v>109</v>
      </c>
      <c r="B19" s="74">
        <f>LNT!F22</f>
        <v>565.4</v>
      </c>
      <c r="C19" s="74">
        <f>B19+C25-C13</f>
        <v>630.87171429032503</v>
      </c>
      <c r="D19" s="74">
        <f>C19+D25-D13</f>
        <v>715.40040861909915</v>
      </c>
      <c r="E19" s="74">
        <f>D19+E25-E13</f>
        <v>821.79636421388864</v>
      </c>
      <c r="F19" s="74">
        <f>E19+F25-F13</f>
        <v>953.54392567690491</v>
      </c>
      <c r="G19" s="74">
        <f>F19+G25-G13</f>
        <v>1114.9145585576316</v>
      </c>
    </row>
    <row r="20" spans="1:7">
      <c r="A20" s="64" t="s">
        <v>17</v>
      </c>
      <c r="B20" s="74">
        <f t="shared" ref="B20:G20" si="0">B19+B18</f>
        <v>799.3</v>
      </c>
      <c r="C20" s="74">
        <f t="shared" si="0"/>
        <v>-45.120344219052754</v>
      </c>
      <c r="D20" s="74">
        <f t="shared" si="0"/>
        <v>-92.100839394618561</v>
      </c>
      <c r="E20" s="74">
        <f t="shared" si="0"/>
        <v>-142.79820067132289</v>
      </c>
      <c r="F20" s="74">
        <f t="shared" si="0"/>
        <v>-198.70528371414264</v>
      </c>
      <c r="G20" s="74">
        <f t="shared" si="0"/>
        <v>-261.49610025661354</v>
      </c>
    </row>
    <row r="21" spans="1:7">
      <c r="A21" s="64"/>
      <c r="B21" s="64"/>
      <c r="C21" s="74"/>
      <c r="D21" s="64"/>
      <c r="E21" s="64"/>
      <c r="F21" s="64"/>
      <c r="G21" s="64"/>
    </row>
    <row r="22" spans="1:7">
      <c r="A22" s="64"/>
      <c r="B22" s="64"/>
      <c r="C22" s="64"/>
      <c r="D22" s="64"/>
      <c r="E22" s="64"/>
      <c r="F22" s="64"/>
      <c r="G22" s="64"/>
    </row>
    <row r="23" spans="1:7">
      <c r="A23" s="64"/>
      <c r="B23" s="64"/>
      <c r="C23" s="64"/>
      <c r="D23" s="64"/>
      <c r="E23" s="64"/>
      <c r="F23" s="64"/>
      <c r="G23" s="64"/>
    </row>
    <row r="24" spans="1:7">
      <c r="A24" s="64"/>
      <c r="B24" s="64"/>
      <c r="C24" s="74"/>
      <c r="D24" s="64"/>
      <c r="E24" s="64"/>
      <c r="F24" s="64"/>
      <c r="G24" s="64"/>
    </row>
    <row r="25" spans="1:7">
      <c r="A25" s="64" t="s">
        <v>110</v>
      </c>
      <c r="B25" s="64"/>
      <c r="C25" s="64">
        <f>$B$6*C11</f>
        <v>145.72977277345495</v>
      </c>
      <c r="D25" s="64">
        <f>$B$6*D11</f>
        <v>174.08040805510129</v>
      </c>
      <c r="E25" s="64">
        <f>$B$6*E11</f>
        <v>207.94644698815122</v>
      </c>
      <c r="F25" s="64">
        <f>$B$6*F11</f>
        <v>248.40087002386147</v>
      </c>
      <c r="G25" s="64">
        <f>$B$6*G11</f>
        <v>296.72539792000941</v>
      </c>
    </row>
    <row r="26" spans="1:7">
      <c r="A26" s="64"/>
      <c r="B26" s="64"/>
      <c r="C26" s="64"/>
      <c r="D26" s="64"/>
      <c r="E26" s="64"/>
      <c r="F26" s="64"/>
      <c r="G26" s="64"/>
    </row>
    <row r="27" spans="1:7" ht="13.85">
      <c r="A27" s="72" t="s">
        <v>111</v>
      </c>
      <c r="B27" s="73"/>
      <c r="C27" s="72">
        <v>2020</v>
      </c>
      <c r="D27" s="72">
        <v>2021</v>
      </c>
      <c r="E27" s="72">
        <v>2022</v>
      </c>
      <c r="F27" s="72">
        <v>2023</v>
      </c>
      <c r="G27" s="72">
        <v>2024</v>
      </c>
    </row>
    <row r="28" spans="1:7">
      <c r="A28" s="64" t="s">
        <v>112</v>
      </c>
      <c r="B28" s="64"/>
      <c r="C28" s="64">
        <f>C15</f>
        <v>867.28157740576967</v>
      </c>
      <c r="D28" s="64">
        <f>D15</f>
        <v>1040.8505788561117</v>
      </c>
      <c r="E28" s="64">
        <f>E15</f>
        <v>1247.4982617890203</v>
      </c>
      <c r="F28" s="64">
        <f>F15</f>
        <v>1493.7574779802767</v>
      </c>
      <c r="G28" s="64">
        <f>G15</f>
        <v>1787.4181363414596</v>
      </c>
    </row>
    <row r="29" spans="1:7">
      <c r="A29" s="64" t="s">
        <v>113</v>
      </c>
      <c r="B29" s="64"/>
      <c r="C29" s="64">
        <f>C13</f>
        <v>80.258058483129972</v>
      </c>
      <c r="D29" s="64">
        <f>D13</f>
        <v>89.551713726327151</v>
      </c>
      <c r="E29" s="64">
        <f>E13</f>
        <v>101.55049139336177</v>
      </c>
      <c r="F29" s="64">
        <f>F13</f>
        <v>116.65330856084516</v>
      </c>
      <c r="G29" s="64">
        <f>G13</f>
        <v>135.3547650392826</v>
      </c>
    </row>
    <row r="30" spans="1:7">
      <c r="A30" s="64" t="s">
        <v>93</v>
      </c>
      <c r="B30" s="64"/>
      <c r="C30" s="64">
        <f>C25</f>
        <v>145.72977277345495</v>
      </c>
      <c r="D30" s="64">
        <f>D25</f>
        <v>174.08040805510129</v>
      </c>
      <c r="E30" s="64">
        <f>E25</f>
        <v>207.94644698815122</v>
      </c>
      <c r="F30" s="64">
        <f>F25</f>
        <v>248.40087002386147</v>
      </c>
      <c r="G30" s="64">
        <f>G25</f>
        <v>296.72539792000941</v>
      </c>
    </row>
    <row r="31" spans="1:7">
      <c r="A31" s="64" t="s">
        <v>114</v>
      </c>
      <c r="B31" s="64"/>
      <c r="C31" s="64">
        <f>C18-B18</f>
        <v>-909.89205850937776</v>
      </c>
      <c r="D31" s="64">
        <f>D18-C18</f>
        <v>-131.50918950433993</v>
      </c>
      <c r="E31" s="64">
        <f>E18-D18</f>
        <v>-157.09331687149381</v>
      </c>
      <c r="F31" s="64">
        <f>F18-E18</f>
        <v>-187.65464450583602</v>
      </c>
      <c r="G31" s="64">
        <f>G18-F18</f>
        <v>-224.16144942319761</v>
      </c>
    </row>
    <row r="32" spans="1:7">
      <c r="A32" s="64"/>
      <c r="B32" s="64"/>
      <c r="C32" s="64"/>
      <c r="D32" s="64"/>
      <c r="E32" s="64"/>
      <c r="F32" s="64"/>
      <c r="G32" s="64"/>
    </row>
    <row r="33" spans="1:18">
      <c r="A33" s="64" t="s">
        <v>68</v>
      </c>
      <c r="B33" s="64"/>
      <c r="C33" s="64">
        <f>C28+C29-C30-C31</f>
        <v>1711.7019216248223</v>
      </c>
      <c r="D33" s="64">
        <f>D28+D29-D30-D31</f>
        <v>1087.8310740316774</v>
      </c>
      <c r="E33" s="64">
        <f>E28+E29-E30-E31</f>
        <v>1298.1956230657247</v>
      </c>
      <c r="F33" s="64">
        <f>F28+F29-F30-F31</f>
        <v>1549.6645610230962</v>
      </c>
      <c r="G33" s="64">
        <f>G28+G29-G30-G31</f>
        <v>1850.2089528839301</v>
      </c>
    </row>
    <row r="35" spans="1:18">
      <c r="A35" s="65" t="s">
        <v>137</v>
      </c>
      <c r="B35" s="67">
        <v>0.1246</v>
      </c>
    </row>
    <row r="36" spans="1:18">
      <c r="A36" t="s">
        <v>149</v>
      </c>
      <c r="B36">
        <v>0</v>
      </c>
    </row>
    <row r="37" spans="1:18">
      <c r="A37" s="65" t="s">
        <v>162</v>
      </c>
      <c r="B37">
        <v>415</v>
      </c>
    </row>
    <row r="38" spans="1:18">
      <c r="A38" s="81" t="s">
        <v>143</v>
      </c>
      <c r="B38" s="64"/>
      <c r="C38" s="64"/>
      <c r="D38" s="64"/>
      <c r="E38" s="64"/>
      <c r="F38" s="64"/>
      <c r="G38" s="64"/>
    </row>
    <row r="39" spans="1:18">
      <c r="A39" s="87" t="s">
        <v>128</v>
      </c>
      <c r="B39" s="85"/>
      <c r="C39" s="85"/>
      <c r="D39" s="85"/>
      <c r="E39" s="85"/>
      <c r="F39" s="85"/>
      <c r="G39" s="85"/>
      <c r="H39" s="86"/>
      <c r="I39" s="86"/>
      <c r="J39" s="86"/>
      <c r="K39" s="87" t="s">
        <v>128</v>
      </c>
      <c r="L39" s="85"/>
      <c r="M39" s="85"/>
      <c r="N39" s="85"/>
      <c r="O39" s="85"/>
      <c r="P39" s="85"/>
      <c r="Q39" s="85"/>
      <c r="R39" s="86"/>
    </row>
    <row r="40" spans="1:18">
      <c r="A40" s="85" t="s">
        <v>115</v>
      </c>
      <c r="B40" s="85"/>
      <c r="C40" s="88">
        <v>3.5000000000000003E-2</v>
      </c>
      <c r="D40" s="85"/>
      <c r="E40" s="85"/>
      <c r="F40" s="85"/>
      <c r="G40" s="85"/>
      <c r="H40" s="86"/>
      <c r="I40" s="86"/>
      <c r="J40" s="86"/>
      <c r="K40" s="85" t="s">
        <v>115</v>
      </c>
      <c r="L40" s="85"/>
      <c r="M40" s="88">
        <v>1.4999999999999999E-2</v>
      </c>
      <c r="N40" s="85"/>
      <c r="O40" s="85"/>
      <c r="P40" s="85"/>
      <c r="Q40" s="85"/>
      <c r="R40" s="86"/>
    </row>
    <row r="41" spans="1:18">
      <c r="A41" s="85" t="s">
        <v>116</v>
      </c>
      <c r="B41" s="85"/>
      <c r="C41" s="85">
        <f>G33*(1+C40)/(B35-C40)</f>
        <v>21372.391364228431</v>
      </c>
      <c r="D41" s="85" t="s">
        <v>117</v>
      </c>
      <c r="E41" s="85"/>
      <c r="F41" s="85"/>
      <c r="G41" s="85"/>
      <c r="H41" s="86"/>
      <c r="I41" s="86"/>
      <c r="J41" s="86"/>
      <c r="K41" s="85" t="s">
        <v>116</v>
      </c>
      <c r="L41" s="85"/>
      <c r="M41" s="85">
        <f>G33*(1+M40)/(B35-M40)</f>
        <v>17134.690576434205</v>
      </c>
      <c r="N41" s="85" t="s">
        <v>117</v>
      </c>
      <c r="O41" s="85"/>
      <c r="P41" s="85"/>
      <c r="Q41" s="85"/>
      <c r="R41" s="86"/>
    </row>
    <row r="42" spans="1:18">
      <c r="A42" s="85" t="s">
        <v>118</v>
      </c>
      <c r="B42" s="85"/>
      <c r="C42" s="85">
        <f>C41/(1+B35)^5</f>
        <v>11881.266090801222</v>
      </c>
      <c r="D42" s="85" t="s">
        <v>117</v>
      </c>
      <c r="E42" s="85"/>
      <c r="F42" s="85"/>
      <c r="G42" s="85"/>
      <c r="H42" s="86"/>
      <c r="I42" s="86"/>
      <c r="J42" s="86"/>
      <c r="K42" s="85" t="s">
        <v>118</v>
      </c>
      <c r="L42" s="85"/>
      <c r="M42" s="85">
        <f>M41/(1+L35)^5</f>
        <v>17134.690576434205</v>
      </c>
      <c r="N42" s="85" t="s">
        <v>117</v>
      </c>
      <c r="O42" s="85"/>
      <c r="P42" s="85"/>
      <c r="Q42" s="85"/>
      <c r="R42" s="86"/>
    </row>
    <row r="43" spans="1:18">
      <c r="A43" s="85"/>
      <c r="B43" s="85"/>
      <c r="C43" s="85"/>
      <c r="D43" s="85"/>
      <c r="E43" s="85"/>
      <c r="F43" s="85"/>
      <c r="G43" s="85"/>
      <c r="H43" s="86"/>
      <c r="I43" s="86"/>
      <c r="J43" s="86"/>
      <c r="K43" s="85"/>
      <c r="L43" s="85"/>
      <c r="M43" s="85"/>
      <c r="N43" s="85"/>
      <c r="O43" s="85"/>
      <c r="P43" s="85"/>
      <c r="Q43" s="85"/>
      <c r="R43" s="86"/>
    </row>
    <row r="44" spans="1:18">
      <c r="A44" s="85" t="s">
        <v>119</v>
      </c>
      <c r="B44" s="89">
        <f>NPV(B35,C33:G33)+C42</f>
        <v>17173.576879151031</v>
      </c>
      <c r="C44" s="85" t="s">
        <v>117</v>
      </c>
      <c r="D44" s="85"/>
      <c r="E44" s="85"/>
      <c r="F44" s="85"/>
      <c r="G44" s="85"/>
      <c r="H44" s="86"/>
      <c r="I44" s="86"/>
      <c r="J44" s="86"/>
      <c r="K44" s="85" t="s">
        <v>119</v>
      </c>
      <c r="L44" s="89">
        <f>NPV(B35,C33:G33)+M42</f>
        <v>22427.001364784013</v>
      </c>
      <c r="M44" s="85" t="s">
        <v>117</v>
      </c>
      <c r="N44" s="85"/>
      <c r="O44" s="85"/>
      <c r="P44" s="85"/>
      <c r="Q44" s="85"/>
      <c r="R44" s="86"/>
    </row>
    <row r="45" spans="1:18">
      <c r="A45" s="85" t="s">
        <v>120</v>
      </c>
      <c r="B45" s="89">
        <f>B44-B36+B37</f>
        <v>17588.576879151031</v>
      </c>
      <c r="C45" s="85" t="s">
        <v>117</v>
      </c>
      <c r="D45" s="85"/>
      <c r="E45" s="85"/>
      <c r="F45" s="85"/>
      <c r="G45" s="85"/>
      <c r="H45" s="86"/>
      <c r="I45" s="86"/>
      <c r="J45" s="86"/>
      <c r="K45" s="85" t="s">
        <v>120</v>
      </c>
      <c r="L45" s="89">
        <f>L44-B36+B37</f>
        <v>22842.001364784013</v>
      </c>
      <c r="M45" s="85" t="s">
        <v>117</v>
      </c>
      <c r="N45" s="85"/>
      <c r="O45" s="85"/>
      <c r="P45" s="85"/>
      <c r="Q45" s="85"/>
      <c r="R45" s="86"/>
    </row>
    <row r="46" spans="1:18">
      <c r="A46" s="85" t="s">
        <v>121</v>
      </c>
      <c r="B46" s="85">
        <f>B45/G46</f>
        <v>1003.1698442451965</v>
      </c>
      <c r="C46" s="85" t="s">
        <v>122</v>
      </c>
      <c r="D46" s="85"/>
      <c r="E46" s="91" t="s">
        <v>126</v>
      </c>
      <c r="F46" s="85"/>
      <c r="G46" s="85">
        <v>17.533000000000001</v>
      </c>
      <c r="H46" s="86"/>
      <c r="I46" s="86"/>
      <c r="J46" s="86"/>
      <c r="K46" s="85" t="s">
        <v>121</v>
      </c>
      <c r="L46" s="85">
        <f>L45/Q46</f>
        <v>1302.800511309189</v>
      </c>
      <c r="M46" s="85" t="s">
        <v>122</v>
      </c>
      <c r="N46" s="85"/>
      <c r="O46" s="91" t="s">
        <v>126</v>
      </c>
      <c r="P46" s="85"/>
      <c r="Q46" s="85">
        <v>17.533000000000001</v>
      </c>
      <c r="R46" s="86"/>
    </row>
    <row r="47" spans="1:18">
      <c r="A47" s="85" t="s">
        <v>123</v>
      </c>
      <c r="B47" s="85">
        <v>5093</v>
      </c>
      <c r="C47" s="85" t="s">
        <v>122</v>
      </c>
      <c r="D47" s="91" t="s">
        <v>127</v>
      </c>
      <c r="E47" s="85"/>
      <c r="F47" s="85"/>
      <c r="G47" s="85"/>
      <c r="H47" s="86"/>
      <c r="I47" s="86"/>
      <c r="J47" s="86"/>
      <c r="K47" s="85" t="s">
        <v>123</v>
      </c>
      <c r="L47" s="85">
        <v>5093</v>
      </c>
      <c r="M47" s="85" t="s">
        <v>122</v>
      </c>
      <c r="N47" s="91" t="s">
        <v>127</v>
      </c>
      <c r="O47" s="85"/>
      <c r="P47" s="85"/>
      <c r="Q47" s="85"/>
      <c r="R47" s="86"/>
    </row>
    <row r="48" spans="1:18">
      <c r="K48" s="84"/>
      <c r="L48" s="84"/>
      <c r="M48" s="84"/>
      <c r="N48" s="84"/>
      <c r="O48" s="84"/>
      <c r="P48" s="84"/>
      <c r="Q48" s="84"/>
    </row>
    <row r="52" spans="1:19">
      <c r="A52" s="81" t="s">
        <v>139</v>
      </c>
      <c r="B52" s="80"/>
      <c r="C52" s="80"/>
      <c r="D52" s="80"/>
      <c r="E52" s="80"/>
      <c r="F52" s="80"/>
      <c r="G52" s="80"/>
      <c r="H52" s="80"/>
      <c r="I52" s="80"/>
    </row>
    <row r="53" spans="1:19">
      <c r="A53" s="86"/>
      <c r="B53" s="86">
        <v>2015</v>
      </c>
      <c r="C53" s="86">
        <v>2016</v>
      </c>
      <c r="D53" s="86">
        <v>2017</v>
      </c>
      <c r="E53" s="86">
        <v>2018</v>
      </c>
      <c r="F53" s="86">
        <v>2019</v>
      </c>
      <c r="G53" s="86"/>
      <c r="H53" s="86"/>
      <c r="I53" s="86"/>
      <c r="J53" s="86"/>
      <c r="K53" s="86"/>
      <c r="L53" s="86">
        <v>2015</v>
      </c>
      <c r="M53" s="86">
        <v>2016</v>
      </c>
      <c r="N53" s="86">
        <v>2017</v>
      </c>
      <c r="O53" s="86">
        <v>2018</v>
      </c>
      <c r="P53" s="86">
        <v>2019</v>
      </c>
      <c r="Q53" s="86"/>
      <c r="R53" s="86"/>
      <c r="S53" s="86"/>
    </row>
    <row r="54" spans="1:19">
      <c r="A54" s="86" t="s">
        <v>140</v>
      </c>
      <c r="B54" s="86">
        <v>19.45</v>
      </c>
      <c r="C54" s="86">
        <v>14.44</v>
      </c>
      <c r="D54" s="86">
        <v>9.23</v>
      </c>
      <c r="E54" s="86">
        <v>14.5</v>
      </c>
      <c r="F54" s="86">
        <v>14.18</v>
      </c>
      <c r="G54" s="86"/>
      <c r="H54" s="86" t="s">
        <v>141</v>
      </c>
      <c r="I54" s="86">
        <f>AVERAGE(B54:F54)</f>
        <v>14.360000000000003</v>
      </c>
      <c r="J54" s="86"/>
      <c r="K54" s="86" t="s">
        <v>140</v>
      </c>
      <c r="L54" s="86">
        <v>19.45</v>
      </c>
      <c r="M54" s="86">
        <v>14.44</v>
      </c>
      <c r="N54" s="86">
        <v>9.23</v>
      </c>
      <c r="O54" s="86">
        <v>14.5</v>
      </c>
      <c r="P54" s="86">
        <v>14.18</v>
      </c>
      <c r="Q54" s="86"/>
      <c r="R54" s="86" t="s">
        <v>141</v>
      </c>
      <c r="S54" s="86">
        <v>20</v>
      </c>
    </row>
    <row r="55" spans="1:19">
      <c r="A55" s="86" t="s">
        <v>142</v>
      </c>
      <c r="B55" s="86">
        <f>LNT!F11</f>
        <v>1137.5</v>
      </c>
      <c r="C55" s="86"/>
      <c r="D55" s="86"/>
      <c r="E55" s="86"/>
      <c r="F55" s="86"/>
      <c r="G55" s="86"/>
      <c r="H55" s="86"/>
      <c r="I55" s="86"/>
      <c r="J55" s="86"/>
      <c r="K55" s="86" t="s">
        <v>142</v>
      </c>
      <c r="L55" s="86">
        <f>LNT!F11</f>
        <v>1137.5</v>
      </c>
      <c r="M55" s="86"/>
      <c r="N55" s="86"/>
      <c r="O55" s="86"/>
      <c r="P55" s="86"/>
      <c r="Q55" s="86"/>
      <c r="R55" s="86"/>
      <c r="S55" s="86"/>
    </row>
    <row r="56" spans="1:19">
      <c r="A56" s="85" t="s">
        <v>118</v>
      </c>
      <c r="B56" s="85">
        <f>B55*I54</f>
        <v>16334.500000000004</v>
      </c>
      <c r="C56" s="85"/>
      <c r="D56" s="85" t="s">
        <v>117</v>
      </c>
      <c r="E56" s="85"/>
      <c r="F56" s="85"/>
      <c r="G56" s="85"/>
      <c r="H56" s="86"/>
      <c r="I56" s="86"/>
      <c r="J56" s="86"/>
      <c r="K56" s="85" t="s">
        <v>118</v>
      </c>
      <c r="L56" s="85">
        <f>L55*S54</f>
        <v>22750</v>
      </c>
      <c r="M56" s="85"/>
      <c r="N56" s="85" t="s">
        <v>117</v>
      </c>
      <c r="O56" s="85"/>
      <c r="P56" s="85"/>
      <c r="Q56" s="85"/>
      <c r="R56" s="86"/>
      <c r="S56" s="86"/>
    </row>
    <row r="57" spans="1:19">
      <c r="A57" s="85"/>
      <c r="B57" s="85"/>
      <c r="C57" s="85"/>
      <c r="D57" s="85"/>
      <c r="E57" s="85"/>
      <c r="F57" s="85"/>
      <c r="G57" s="85"/>
      <c r="H57" s="86"/>
      <c r="I57" s="86"/>
      <c r="J57" s="86"/>
      <c r="K57" s="85"/>
      <c r="L57" s="85"/>
      <c r="M57" s="85"/>
      <c r="N57" s="85"/>
      <c r="O57" s="85"/>
      <c r="P57" s="85"/>
      <c r="Q57" s="85"/>
      <c r="R57" s="86"/>
      <c r="S57" s="86"/>
    </row>
    <row r="58" spans="1:19">
      <c r="A58" s="85" t="s">
        <v>119</v>
      </c>
      <c r="B58" s="89">
        <f>B56+NPV(B35,C33:G33)</f>
        <v>21626.810788349812</v>
      </c>
      <c r="C58" s="85" t="s">
        <v>117</v>
      </c>
      <c r="D58" s="85"/>
      <c r="E58" s="85"/>
      <c r="F58" s="85"/>
      <c r="G58" s="85"/>
      <c r="H58" s="86"/>
      <c r="I58" s="86"/>
      <c r="J58" s="86"/>
      <c r="K58" s="85" t="s">
        <v>119</v>
      </c>
      <c r="L58" s="89">
        <f>L56+NPV(B35,C33:G33)</f>
        <v>28042.310788349809</v>
      </c>
      <c r="M58" s="85" t="s">
        <v>117</v>
      </c>
      <c r="N58" s="85"/>
      <c r="O58" s="85"/>
      <c r="P58" s="85"/>
      <c r="Q58" s="85"/>
      <c r="R58" s="86"/>
      <c r="S58" s="86"/>
    </row>
    <row r="59" spans="1:19">
      <c r="A59" s="85" t="s">
        <v>120</v>
      </c>
      <c r="B59" s="89">
        <f>B58-B36+B37</f>
        <v>22041.810788349812</v>
      </c>
      <c r="C59" s="85" t="s">
        <v>117</v>
      </c>
      <c r="D59" s="85"/>
      <c r="E59" s="85"/>
      <c r="F59" s="85"/>
      <c r="G59" s="85"/>
      <c r="H59" s="86"/>
      <c r="I59" s="86"/>
      <c r="J59" s="86"/>
      <c r="K59" s="85" t="s">
        <v>120</v>
      </c>
      <c r="L59" s="89">
        <f>L58-L36+B37</f>
        <v>28457.310788349809</v>
      </c>
      <c r="M59" s="85" t="s">
        <v>117</v>
      </c>
      <c r="N59" s="85"/>
      <c r="O59" s="85"/>
      <c r="P59" s="85"/>
      <c r="Q59" s="85"/>
      <c r="R59" s="86"/>
      <c r="S59" s="86"/>
    </row>
    <row r="60" spans="1:19">
      <c r="A60" s="85" t="s">
        <v>121</v>
      </c>
      <c r="B60" s="85">
        <f>B59/G60</f>
        <v>1257.1613978412029</v>
      </c>
      <c r="C60" s="85" t="s">
        <v>122</v>
      </c>
      <c r="D60" s="85"/>
      <c r="E60" s="91" t="s">
        <v>126</v>
      </c>
      <c r="F60" s="85"/>
      <c r="G60" s="85">
        <v>17.533000000000001</v>
      </c>
      <c r="H60" s="86"/>
      <c r="I60" s="86"/>
      <c r="J60" s="86"/>
      <c r="K60" s="85" t="s">
        <v>121</v>
      </c>
      <c r="L60" s="85">
        <f>L59/Q60</f>
        <v>1623.0713961301435</v>
      </c>
      <c r="M60" s="85" t="s">
        <v>122</v>
      </c>
      <c r="N60" s="85"/>
      <c r="O60" s="91" t="s">
        <v>126</v>
      </c>
      <c r="P60" s="85"/>
      <c r="Q60" s="85">
        <v>17.533000000000001</v>
      </c>
      <c r="R60" s="86"/>
      <c r="S60" s="86"/>
    </row>
    <row r="61" spans="1:19">
      <c r="A61" s="85" t="s">
        <v>123</v>
      </c>
      <c r="B61" s="85">
        <v>5093</v>
      </c>
      <c r="C61" s="85" t="s">
        <v>122</v>
      </c>
      <c r="D61" s="91" t="s">
        <v>127</v>
      </c>
      <c r="E61" s="85"/>
      <c r="F61" s="85"/>
      <c r="G61" s="85"/>
      <c r="H61" s="86"/>
      <c r="I61" s="86"/>
      <c r="J61" s="86"/>
      <c r="K61" s="85" t="s">
        <v>123</v>
      </c>
      <c r="L61" s="85">
        <v>5093</v>
      </c>
      <c r="M61" s="85" t="s">
        <v>122</v>
      </c>
      <c r="N61" s="91" t="s">
        <v>127</v>
      </c>
      <c r="O61" s="85"/>
      <c r="P61" s="85"/>
      <c r="Q61" s="85"/>
      <c r="R61" s="86"/>
      <c r="S61" s="86"/>
    </row>
    <row r="69" spans="1:6">
      <c r="A69" s="82" t="s">
        <v>146</v>
      </c>
      <c r="B69" s="80"/>
    </row>
    <row r="70" spans="1:6">
      <c r="A70" s="82" t="s">
        <v>140</v>
      </c>
      <c r="B70" s="80"/>
    </row>
    <row r="71" spans="1:6">
      <c r="A71" s="93" t="s">
        <v>148</v>
      </c>
      <c r="B71" s="86">
        <f>'Industry ratios'!D9</f>
        <v>14.693200000000001</v>
      </c>
      <c r="C71" s="86"/>
      <c r="D71" s="86"/>
      <c r="E71" s="93" t="s">
        <v>148</v>
      </c>
      <c r="F71" s="86">
        <v>25</v>
      </c>
    </row>
    <row r="72" spans="1:6">
      <c r="A72" s="93" t="s">
        <v>147</v>
      </c>
      <c r="B72" s="86">
        <f>B71*LNT!F11</f>
        <v>16713.514999999999</v>
      </c>
      <c r="C72" s="86"/>
      <c r="D72" s="86"/>
      <c r="E72" s="93" t="s">
        <v>147</v>
      </c>
      <c r="F72" s="86">
        <f>F71*LNT!F11</f>
        <v>28437.5</v>
      </c>
    </row>
    <row r="73" spans="1:6">
      <c r="A73" s="93" t="s">
        <v>151</v>
      </c>
      <c r="B73" s="86">
        <f>B72-B36+B37</f>
        <v>17128.514999999999</v>
      </c>
      <c r="C73" s="86"/>
      <c r="D73" s="86"/>
      <c r="E73" s="93" t="s">
        <v>151</v>
      </c>
      <c r="F73" s="86">
        <f>F72-F36+F37</f>
        <v>28437.5</v>
      </c>
    </row>
    <row r="74" spans="1:6">
      <c r="A74" s="93" t="s">
        <v>152</v>
      </c>
      <c r="B74" s="86">
        <f>B73/G60</f>
        <v>976.93007471624924</v>
      </c>
      <c r="C74" s="86"/>
      <c r="D74" s="86"/>
      <c r="E74" s="93" t="s">
        <v>152</v>
      </c>
      <c r="F74" s="86">
        <f>F73/G60</f>
        <v>1621.9414817772199</v>
      </c>
    </row>
    <row r="75" spans="1:6">
      <c r="A75" s="93" t="s">
        <v>123</v>
      </c>
      <c r="B75" s="86">
        <v>5093</v>
      </c>
      <c r="C75" s="86"/>
      <c r="D75" s="86"/>
      <c r="E75" s="93" t="s">
        <v>123</v>
      </c>
      <c r="F75" s="86">
        <v>5093</v>
      </c>
    </row>
    <row r="79" spans="1:6">
      <c r="A79" s="82" t="s">
        <v>146</v>
      </c>
      <c r="B79" s="80"/>
    </row>
    <row r="80" spans="1:6">
      <c r="A80" s="82" t="s">
        <v>153</v>
      </c>
      <c r="B80" s="80"/>
    </row>
    <row r="81" spans="1:6">
      <c r="A81" s="93" t="s">
        <v>148</v>
      </c>
      <c r="B81" s="86">
        <f>'Industry ratios'!F9</f>
        <v>35.951999999999998</v>
      </c>
      <c r="C81" s="86"/>
      <c r="D81" s="86"/>
      <c r="E81" s="93" t="s">
        <v>148</v>
      </c>
      <c r="F81" s="86">
        <f>40</f>
        <v>40</v>
      </c>
    </row>
    <row r="82" spans="1:6">
      <c r="A82" s="93" t="s">
        <v>154</v>
      </c>
      <c r="B82" s="86">
        <v>131.02000000000001</v>
      </c>
      <c r="C82" s="86"/>
      <c r="D82" s="86"/>
      <c r="E82" s="93" t="s">
        <v>154</v>
      </c>
      <c r="F82" s="86">
        <v>131.02000000000001</v>
      </c>
    </row>
    <row r="83" spans="1:6">
      <c r="A83" s="93" t="s">
        <v>155</v>
      </c>
      <c r="B83" s="86">
        <f>B81*B82</f>
        <v>4710.4310400000004</v>
      </c>
      <c r="C83" s="86"/>
      <c r="D83" s="86"/>
      <c r="E83" s="93" t="s">
        <v>155</v>
      </c>
      <c r="F83" s="86">
        <f>F81*F82</f>
        <v>5240.8</v>
      </c>
    </row>
    <row r="84" spans="1:6">
      <c r="A84" s="93" t="s">
        <v>123</v>
      </c>
      <c r="B84" s="86">
        <v>5093</v>
      </c>
      <c r="C84" s="86"/>
      <c r="D84" s="86"/>
      <c r="E84" s="93" t="s">
        <v>123</v>
      </c>
      <c r="F84" s="86">
        <v>5093</v>
      </c>
    </row>
    <row r="85" spans="1:6">
      <c r="A85" s="86"/>
      <c r="B85" s="86"/>
      <c r="C85" s="86"/>
      <c r="D85" s="86"/>
      <c r="E85" s="86"/>
      <c r="F85" s="86"/>
    </row>
    <row r="87" spans="1:6">
      <c r="A87" s="77" t="s">
        <v>156</v>
      </c>
      <c r="B87" s="80"/>
    </row>
    <row r="88" spans="1:6">
      <c r="A88" s="77" t="s">
        <v>157</v>
      </c>
      <c r="B88" s="80"/>
    </row>
    <row r="89" spans="1:6">
      <c r="A89" s="86" t="s">
        <v>158</v>
      </c>
      <c r="B89" s="86">
        <f>'Industry ratios'!H9</f>
        <v>2.2650000000000001</v>
      </c>
      <c r="C89" s="86"/>
      <c r="D89" s="86"/>
      <c r="E89" s="93" t="s">
        <v>158</v>
      </c>
      <c r="F89" s="86">
        <f>2.07</f>
        <v>2.0699999999999998</v>
      </c>
    </row>
    <row r="90" spans="1:6">
      <c r="A90" s="86" t="s">
        <v>159</v>
      </c>
      <c r="B90" s="94">
        <v>17.600000000000001</v>
      </c>
      <c r="C90" s="86"/>
      <c r="D90" s="86"/>
      <c r="E90" s="86" t="s">
        <v>159</v>
      </c>
      <c r="F90" s="94">
        <v>17.600000000000001</v>
      </c>
    </row>
    <row r="91" spans="1:6">
      <c r="A91" s="86" t="s">
        <v>160</v>
      </c>
      <c r="B91" s="86">
        <f>B89*B90</f>
        <v>39.864000000000004</v>
      </c>
      <c r="C91" s="86"/>
      <c r="D91" s="86"/>
      <c r="E91" s="86" t="s">
        <v>160</v>
      </c>
      <c r="F91" s="86">
        <f>F89*F90</f>
        <v>36.432000000000002</v>
      </c>
    </row>
    <row r="92" spans="1:6">
      <c r="A92" s="93" t="s">
        <v>154</v>
      </c>
      <c r="B92" s="86">
        <f>B82</f>
        <v>131.02000000000001</v>
      </c>
      <c r="C92" s="86"/>
      <c r="D92" s="86"/>
      <c r="E92" s="93" t="s">
        <v>154</v>
      </c>
      <c r="F92" s="86">
        <f>F82</f>
        <v>131.02000000000001</v>
      </c>
    </row>
    <row r="93" spans="1:6">
      <c r="A93" s="93" t="s">
        <v>155</v>
      </c>
      <c r="B93" s="86">
        <f>B91*B92</f>
        <v>5222.9812800000009</v>
      </c>
      <c r="C93" s="86"/>
      <c r="D93" s="86"/>
      <c r="E93" s="93" t="s">
        <v>155</v>
      </c>
      <c r="F93" s="86">
        <f>F91*F92</f>
        <v>4773.3206400000008</v>
      </c>
    </row>
    <row r="94" spans="1:6">
      <c r="A94" s="93" t="s">
        <v>123</v>
      </c>
      <c r="B94" s="86">
        <v>5093</v>
      </c>
      <c r="C94" s="86"/>
      <c r="D94" s="86"/>
      <c r="E94" s="93" t="s">
        <v>123</v>
      </c>
      <c r="F94" s="86">
        <v>5093</v>
      </c>
    </row>
    <row r="97" spans="1:5">
      <c r="A97" s="82" t="s">
        <v>146</v>
      </c>
      <c r="B97" s="80"/>
    </row>
    <row r="98" spans="1:5">
      <c r="A98" s="82" t="s">
        <v>145</v>
      </c>
      <c r="B98" s="80"/>
    </row>
    <row r="99" spans="1:5">
      <c r="A99" s="93" t="s">
        <v>148</v>
      </c>
      <c r="B99" s="86">
        <f>'Industry ratios'!J9</f>
        <v>8.3279999999999994</v>
      </c>
      <c r="C99" s="86"/>
      <c r="D99" s="93" t="s">
        <v>148</v>
      </c>
      <c r="E99" s="86">
        <v>19.34</v>
      </c>
    </row>
    <row r="100" spans="1:5">
      <c r="A100" s="93" t="s">
        <v>147</v>
      </c>
      <c r="B100" s="86">
        <f>B99*LNT!F10</f>
        <v>44147.560799999999</v>
      </c>
      <c r="C100" s="86"/>
      <c r="D100" s="93" t="s">
        <v>147</v>
      </c>
      <c r="E100" s="86">
        <f>E99*LNT!F10</f>
        <v>102523.274</v>
      </c>
    </row>
    <row r="101" spans="1:5">
      <c r="A101" s="93" t="s">
        <v>151</v>
      </c>
      <c r="B101" s="86">
        <f>B100-B36+B37</f>
        <v>44562.560799999999</v>
      </c>
      <c r="C101" s="86"/>
      <c r="D101" s="93" t="s">
        <v>151</v>
      </c>
      <c r="E101" s="86">
        <f>E100-E36+B37</f>
        <v>102938.274</v>
      </c>
    </row>
    <row r="102" spans="1:5">
      <c r="A102" s="93" t="s">
        <v>152</v>
      </c>
      <c r="B102" s="86">
        <f>B101/G60</f>
        <v>2541.6392402897391</v>
      </c>
      <c r="C102" s="86"/>
      <c r="D102" s="93" t="s">
        <v>152</v>
      </c>
      <c r="E102" s="86">
        <f>E101/G60</f>
        <v>5871.1158387041578</v>
      </c>
    </row>
    <row r="103" spans="1:5">
      <c r="A103" s="93" t="s">
        <v>123</v>
      </c>
      <c r="B103" s="86">
        <v>5093</v>
      </c>
      <c r="C103" s="86"/>
      <c r="D103" s="93" t="s">
        <v>123</v>
      </c>
      <c r="E103" s="86">
        <v>5093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H158"/>
  <sheetViews>
    <sheetView zoomScale="55" zoomScaleNormal="55" workbookViewId="0">
      <selection activeCell="H17" sqref="H17"/>
    </sheetView>
  </sheetViews>
  <sheetFormatPr defaultColWidth="12.6640625" defaultRowHeight="15.7" customHeight="1"/>
  <cols>
    <col min="1" max="1" width="36.88671875" customWidth="1"/>
    <col min="3" max="4" width="21.109375" customWidth="1"/>
    <col min="5" max="5" width="21" customWidth="1"/>
    <col min="6" max="6" width="22.33203125" customWidth="1"/>
    <col min="8" max="8" width="20" customWidth="1"/>
    <col min="35" max="35" width="18.5546875" customWidth="1"/>
    <col min="36" max="36" width="19.33203125" customWidth="1"/>
    <col min="37" max="37" width="17.109375" customWidth="1"/>
  </cols>
  <sheetData>
    <row r="1" spans="1:34" ht="13.85">
      <c r="A1" s="36"/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11</v>
      </c>
      <c r="N1" s="27" t="s">
        <v>12</v>
      </c>
      <c r="O1" s="27" t="s">
        <v>13</v>
      </c>
      <c r="P1" s="27" t="s">
        <v>14</v>
      </c>
      <c r="Q1" s="27" t="s">
        <v>15</v>
      </c>
      <c r="R1" s="27" t="s">
        <v>16</v>
      </c>
      <c r="S1" s="27" t="s">
        <v>17</v>
      </c>
      <c r="T1" s="27" t="s">
        <v>18</v>
      </c>
      <c r="U1" s="27" t="s">
        <v>19</v>
      </c>
      <c r="V1" s="27" t="s">
        <v>20</v>
      </c>
    </row>
    <row r="2" spans="1:34" ht="15.7" customHeight="1">
      <c r="A2" s="43" t="s">
        <v>87</v>
      </c>
      <c r="B2" s="38">
        <v>15</v>
      </c>
      <c r="C2" s="38">
        <v>109.9</v>
      </c>
      <c r="D2" s="38">
        <v>62.07</v>
      </c>
      <c r="E2" s="38">
        <v>62.07</v>
      </c>
      <c r="F2" s="38">
        <v>61.22</v>
      </c>
      <c r="G2" s="38">
        <v>40.340000000000003</v>
      </c>
      <c r="H2" s="38">
        <v>88.18</v>
      </c>
      <c r="I2" s="44"/>
      <c r="J2" s="38">
        <v>10</v>
      </c>
      <c r="K2" s="38">
        <v>161.28</v>
      </c>
      <c r="L2" s="44"/>
      <c r="M2" s="39"/>
      <c r="N2" s="38">
        <v>36.369999999999997</v>
      </c>
      <c r="O2" s="38">
        <v>1.72</v>
      </c>
      <c r="P2" s="38">
        <v>0.26</v>
      </c>
      <c r="Q2" s="38">
        <v>166.35</v>
      </c>
      <c r="R2" s="39"/>
      <c r="S2" s="38">
        <v>208.71</v>
      </c>
      <c r="T2" s="38">
        <v>6.23</v>
      </c>
      <c r="U2" s="38">
        <v>3.73</v>
      </c>
      <c r="V2" s="38">
        <v>208.71</v>
      </c>
    </row>
    <row r="3" spans="1:34" ht="15.7" customHeight="1">
      <c r="A3" s="43" t="s">
        <v>87</v>
      </c>
      <c r="B3" s="38">
        <v>16</v>
      </c>
      <c r="C3" s="38">
        <v>92.11</v>
      </c>
      <c r="D3" s="38">
        <v>26.93</v>
      </c>
      <c r="E3" s="38">
        <v>26.93</v>
      </c>
      <c r="F3" s="38">
        <v>25.78</v>
      </c>
      <c r="G3" s="38">
        <v>10.64</v>
      </c>
      <c r="H3" s="38">
        <v>80.05</v>
      </c>
      <c r="I3" s="44"/>
      <c r="J3" s="38">
        <v>10</v>
      </c>
      <c r="K3" s="38">
        <v>171.91</v>
      </c>
      <c r="L3" s="44"/>
      <c r="M3" s="39"/>
      <c r="N3" s="38">
        <v>22.87</v>
      </c>
      <c r="O3" s="38">
        <v>4.45</v>
      </c>
      <c r="P3" s="38">
        <v>0.53</v>
      </c>
      <c r="Q3" s="38">
        <v>159.72999999999999</v>
      </c>
      <c r="R3" s="39"/>
      <c r="S3" s="38">
        <v>206.26</v>
      </c>
      <c r="T3" s="38">
        <v>7.13</v>
      </c>
      <c r="U3" s="38">
        <v>17.43</v>
      </c>
      <c r="V3" s="38">
        <v>206.26</v>
      </c>
    </row>
    <row r="4" spans="1:34" ht="15.7" customHeight="1">
      <c r="A4" s="43" t="s">
        <v>87</v>
      </c>
      <c r="B4" s="38">
        <v>17</v>
      </c>
      <c r="C4" s="38">
        <v>153.71</v>
      </c>
      <c r="D4" s="38">
        <v>59.76</v>
      </c>
      <c r="E4" s="38">
        <v>59.73</v>
      </c>
      <c r="F4" s="38">
        <v>57.68</v>
      </c>
      <c r="G4" s="38">
        <v>40.64</v>
      </c>
      <c r="H4" s="38">
        <v>142.25</v>
      </c>
      <c r="I4" s="38">
        <v>0.03</v>
      </c>
      <c r="J4" s="38">
        <v>10</v>
      </c>
      <c r="K4" s="38">
        <v>212.5</v>
      </c>
      <c r="L4" s="44"/>
      <c r="M4" s="44"/>
      <c r="N4" s="38">
        <v>45.15</v>
      </c>
      <c r="O4" s="38">
        <v>4.63</v>
      </c>
      <c r="P4" s="38">
        <v>0.38</v>
      </c>
      <c r="Q4" s="38">
        <v>214.4</v>
      </c>
      <c r="R4" s="44"/>
      <c r="S4" s="38">
        <v>270.11</v>
      </c>
      <c r="T4" s="38">
        <v>28.08</v>
      </c>
      <c r="U4" s="38">
        <v>38.74</v>
      </c>
      <c r="V4" s="38">
        <v>270.11</v>
      </c>
    </row>
    <row r="5" spans="1:34" ht="15.7" customHeight="1">
      <c r="A5" s="43" t="s">
        <v>87</v>
      </c>
      <c r="B5" s="38">
        <v>18</v>
      </c>
      <c r="C5" s="38">
        <v>177.62</v>
      </c>
      <c r="D5" s="38">
        <v>69.41</v>
      </c>
      <c r="E5" s="38">
        <v>69.39</v>
      </c>
      <c r="F5" s="38">
        <v>67.680000000000007</v>
      </c>
      <c r="G5" s="38">
        <v>43.69</v>
      </c>
      <c r="H5" s="38">
        <v>156.94999999999999</v>
      </c>
      <c r="I5" s="38">
        <v>0.02</v>
      </c>
      <c r="J5" s="38">
        <v>10</v>
      </c>
      <c r="K5" s="38">
        <v>196.37</v>
      </c>
      <c r="L5" s="44"/>
      <c r="M5" s="39"/>
      <c r="N5" s="38">
        <v>75.72</v>
      </c>
      <c r="O5" s="38">
        <v>3.81</v>
      </c>
      <c r="P5" s="38">
        <v>565.97</v>
      </c>
      <c r="Q5" s="38">
        <v>743.68</v>
      </c>
      <c r="R5" s="44"/>
      <c r="S5" s="38">
        <v>787.58</v>
      </c>
      <c r="T5" s="38">
        <v>7.71</v>
      </c>
      <c r="U5" s="38">
        <v>33.42</v>
      </c>
      <c r="V5" s="38">
        <v>787.58</v>
      </c>
    </row>
    <row r="6" spans="1:34" ht="15.7" customHeight="1">
      <c r="A6" s="43" t="s">
        <v>87</v>
      </c>
      <c r="B6" s="38">
        <v>19</v>
      </c>
      <c r="C6" s="38">
        <v>1204.8399999999999</v>
      </c>
      <c r="D6" s="38">
        <v>-88.72</v>
      </c>
      <c r="E6" s="38">
        <v>-88.79</v>
      </c>
      <c r="F6" s="38">
        <v>-91.11</v>
      </c>
      <c r="G6" s="38">
        <v>-58.26</v>
      </c>
      <c r="H6" s="38">
        <v>1196.93</v>
      </c>
      <c r="I6" s="38">
        <v>7.0000000000000007E-2</v>
      </c>
      <c r="J6" s="38">
        <v>10</v>
      </c>
      <c r="K6" s="38">
        <v>137.96</v>
      </c>
      <c r="L6" s="44"/>
      <c r="M6" s="39"/>
      <c r="N6" s="38">
        <v>439.71</v>
      </c>
      <c r="O6" s="38">
        <v>20.96</v>
      </c>
      <c r="P6" s="38">
        <v>184.46</v>
      </c>
      <c r="Q6" s="38">
        <v>673.34</v>
      </c>
      <c r="R6" s="44"/>
      <c r="S6" s="38">
        <v>770.83</v>
      </c>
      <c r="T6" s="38">
        <v>215.77</v>
      </c>
      <c r="U6" s="38">
        <v>134.08000000000001</v>
      </c>
      <c r="V6" s="38">
        <v>770.83</v>
      </c>
    </row>
    <row r="7" spans="1:34" ht="13.85">
      <c r="B7" s="40"/>
      <c r="C7" s="40"/>
      <c r="D7" s="40"/>
      <c r="E7" s="40"/>
      <c r="F7" s="40"/>
    </row>
    <row r="8" spans="1:34" ht="15.7" customHeight="1" thickBot="1"/>
    <row r="9" spans="1:34" ht="15.7" customHeight="1" thickTop="1" thickBot="1">
      <c r="A9" s="32" t="s">
        <v>0</v>
      </c>
      <c r="B9" s="33"/>
      <c r="C9" s="34">
        <v>16</v>
      </c>
      <c r="D9" s="34">
        <v>17</v>
      </c>
      <c r="E9" s="34">
        <v>18</v>
      </c>
      <c r="F9" s="34">
        <v>19</v>
      </c>
    </row>
    <row r="10" spans="1:34" ht="15.7" customHeight="1" thickTop="1" thickBot="1">
      <c r="A10" s="32" t="s">
        <v>1</v>
      </c>
      <c r="B10" s="45"/>
      <c r="C10" s="109">
        <v>1086460</v>
      </c>
      <c r="D10" s="109">
        <v>1179660</v>
      </c>
      <c r="E10" s="109">
        <v>1231040</v>
      </c>
      <c r="F10" s="109">
        <v>1464630</v>
      </c>
    </row>
    <row r="11" spans="1:34" ht="15.7" customHeight="1" thickTop="1" thickBot="1">
      <c r="A11" s="32" t="s">
        <v>2</v>
      </c>
      <c r="B11" s="45"/>
      <c r="C11" s="109">
        <v>306730</v>
      </c>
      <c r="D11" s="109">
        <v>323080</v>
      </c>
      <c r="E11" s="109">
        <v>325160</v>
      </c>
      <c r="F11" s="109">
        <v>395060</v>
      </c>
    </row>
    <row r="12" spans="1:34" ht="15.7" customHeight="1" thickTop="1" thickBot="1">
      <c r="A12" s="32" t="s">
        <v>3</v>
      </c>
      <c r="B12" s="45"/>
      <c r="C12" s="45">
        <v>26.93</v>
      </c>
      <c r="D12" s="45">
        <v>59.73</v>
      </c>
      <c r="E12" s="45">
        <v>69.39</v>
      </c>
      <c r="F12" s="45">
        <v>-88.79</v>
      </c>
      <c r="G12">
        <f>AVERAGE(B11:F11)</f>
        <v>337507.5</v>
      </c>
    </row>
    <row r="13" spans="1:34" ht="15.7" customHeight="1" thickTop="1" thickBot="1">
      <c r="A13" s="32" t="s">
        <v>4</v>
      </c>
      <c r="B13" s="45"/>
      <c r="C13" s="45">
        <v>25.78</v>
      </c>
      <c r="D13" s="45">
        <v>57.68</v>
      </c>
      <c r="E13" s="45">
        <v>67.680000000000007</v>
      </c>
      <c r="F13" s="45">
        <v>-91.11</v>
      </c>
      <c r="P13" s="30" t="s">
        <v>21</v>
      </c>
      <c r="Q13" s="6"/>
      <c r="R13" s="6"/>
      <c r="S13" s="31">
        <v>15</v>
      </c>
      <c r="T13" s="31">
        <v>16</v>
      </c>
      <c r="U13" s="31">
        <v>17</v>
      </c>
      <c r="V13" s="31">
        <v>18</v>
      </c>
      <c r="W13" s="31">
        <v>19</v>
      </c>
      <c r="AA13" s="30" t="s">
        <v>21</v>
      </c>
      <c r="AB13" s="6"/>
      <c r="AC13" s="6"/>
      <c r="AD13" s="31">
        <v>15</v>
      </c>
      <c r="AE13" s="31">
        <v>16</v>
      </c>
      <c r="AF13" s="31">
        <v>17</v>
      </c>
      <c r="AG13" s="31">
        <v>18</v>
      </c>
      <c r="AH13" s="31">
        <v>19</v>
      </c>
    </row>
    <row r="14" spans="1:34" ht="15.7" customHeight="1" thickTop="1" thickBot="1">
      <c r="A14" s="32" t="s">
        <v>5</v>
      </c>
      <c r="B14" s="45"/>
      <c r="C14" s="45">
        <v>10.64</v>
      </c>
      <c r="D14" s="45">
        <v>40.64</v>
      </c>
      <c r="E14" s="45">
        <v>43.69</v>
      </c>
      <c r="F14" s="45">
        <v>-58.26</v>
      </c>
      <c r="P14" s="528" t="s">
        <v>22</v>
      </c>
      <c r="Q14" s="529"/>
      <c r="R14" s="529"/>
      <c r="S14" s="529"/>
      <c r="T14" s="529"/>
      <c r="U14" s="529"/>
      <c r="V14" s="529"/>
      <c r="W14" s="530"/>
      <c r="AA14" s="528" t="s">
        <v>23</v>
      </c>
      <c r="AB14" s="529"/>
      <c r="AC14" s="529"/>
      <c r="AD14" s="529"/>
      <c r="AE14" s="529"/>
      <c r="AF14" s="529"/>
      <c r="AG14" s="529"/>
      <c r="AH14" s="530"/>
    </row>
    <row r="15" spans="1:34" ht="15.7" customHeight="1" thickTop="1" thickBot="1">
      <c r="A15" s="32" t="s">
        <v>6</v>
      </c>
      <c r="B15" s="45"/>
      <c r="C15" s="45">
        <v>80.05</v>
      </c>
      <c r="D15" s="45">
        <v>142.25</v>
      </c>
      <c r="E15" s="45">
        <v>156.94999999999999</v>
      </c>
      <c r="F15" s="45">
        <v>1196.93</v>
      </c>
      <c r="O15" s="101"/>
      <c r="P15" s="104" t="s">
        <v>24</v>
      </c>
      <c r="Q15" s="102"/>
      <c r="R15" s="103"/>
      <c r="S15" s="8"/>
      <c r="T15" s="8"/>
      <c r="U15" s="8"/>
      <c r="V15" s="8"/>
      <c r="W15" s="8"/>
      <c r="AA15" s="8"/>
      <c r="AB15" s="8"/>
      <c r="AC15" s="8"/>
      <c r="AD15" s="8"/>
      <c r="AE15" s="8"/>
      <c r="AF15" s="8"/>
      <c r="AG15" s="8"/>
      <c r="AH15" s="8"/>
    </row>
    <row r="16" spans="1:34" ht="15.7" customHeight="1" thickTop="1" thickBot="1">
      <c r="A16" s="32" t="s">
        <v>7</v>
      </c>
      <c r="B16" s="46"/>
      <c r="C16" s="46"/>
      <c r="D16" s="45">
        <v>0.03</v>
      </c>
      <c r="E16" s="45">
        <v>0.02</v>
      </c>
      <c r="F16" s="45">
        <v>7.0000000000000007E-2</v>
      </c>
      <c r="O16" s="101"/>
      <c r="P16" s="105" t="s">
        <v>25</v>
      </c>
      <c r="Q16" s="103"/>
      <c r="R16" s="8"/>
      <c r="S16" s="9">
        <f>B10</f>
        <v>0</v>
      </c>
      <c r="T16" s="9">
        <f>C10</f>
        <v>1086460</v>
      </c>
      <c r="U16" s="9">
        <f>D10</f>
        <v>1179660</v>
      </c>
      <c r="V16" s="9">
        <f>E10</f>
        <v>1231040</v>
      </c>
      <c r="W16" s="9">
        <f>F10</f>
        <v>1464630</v>
      </c>
      <c r="Z16" s="101"/>
      <c r="AA16" s="10" t="s">
        <v>26</v>
      </c>
      <c r="AB16" s="8"/>
      <c r="AC16" s="8"/>
      <c r="AD16" s="8"/>
      <c r="AE16" s="8"/>
      <c r="AF16" s="8"/>
      <c r="AG16" s="8"/>
      <c r="AH16" s="8"/>
    </row>
    <row r="17" spans="1:34" ht="15.7" customHeight="1" thickTop="1" thickBot="1">
      <c r="A17" s="32" t="s">
        <v>8</v>
      </c>
      <c r="B17" s="45"/>
      <c r="C17" s="45">
        <v>10</v>
      </c>
      <c r="D17" s="45">
        <v>10</v>
      </c>
      <c r="E17" s="45">
        <v>10</v>
      </c>
      <c r="F17" s="45">
        <v>10</v>
      </c>
      <c r="O17" s="101"/>
      <c r="P17" s="8"/>
      <c r="Q17" s="104" t="s">
        <v>27</v>
      </c>
      <c r="R17" s="103"/>
      <c r="S17" s="9">
        <f t="shared" ref="S17:W17" si="0">S16-S18</f>
        <v>0</v>
      </c>
      <c r="T17" s="9">
        <f t="shared" si="0"/>
        <v>1086379.95</v>
      </c>
      <c r="U17" s="9">
        <f t="shared" si="0"/>
        <v>1179517.75</v>
      </c>
      <c r="V17" s="9">
        <f t="shared" si="0"/>
        <v>1230883.05</v>
      </c>
      <c r="W17" s="9">
        <f t="shared" si="0"/>
        <v>1463433.07</v>
      </c>
      <c r="Z17" s="101"/>
      <c r="AA17" s="106" t="s">
        <v>28</v>
      </c>
      <c r="AB17" s="102"/>
      <c r="AC17" s="103"/>
      <c r="AD17" s="9"/>
      <c r="AE17" s="9">
        <f>C22</f>
        <v>117900</v>
      </c>
      <c r="AF17" s="9">
        <f>D22</f>
        <v>117410</v>
      </c>
      <c r="AG17" s="9">
        <f>E22</f>
        <v>116000</v>
      </c>
      <c r="AH17" s="9">
        <f>F22</f>
        <v>116500</v>
      </c>
    </row>
    <row r="18" spans="1:34" ht="15.7" customHeight="1" thickTop="1" thickBot="1">
      <c r="A18" s="32" t="s">
        <v>9</v>
      </c>
      <c r="B18" s="45"/>
      <c r="C18" s="45">
        <v>171.91</v>
      </c>
      <c r="D18" s="45">
        <v>212.5</v>
      </c>
      <c r="E18" s="45">
        <v>196.37</v>
      </c>
      <c r="F18" s="45">
        <v>137.96</v>
      </c>
      <c r="O18" s="101"/>
      <c r="P18" s="105" t="s">
        <v>29</v>
      </c>
      <c r="Q18" s="102"/>
      <c r="R18" s="103"/>
      <c r="S18" s="9">
        <f>B15</f>
        <v>0</v>
      </c>
      <c r="T18" s="9">
        <f>C15</f>
        <v>80.05</v>
      </c>
      <c r="U18" s="9">
        <f>D15</f>
        <v>142.25</v>
      </c>
      <c r="V18" s="9">
        <f>E15</f>
        <v>156.94999999999999</v>
      </c>
      <c r="W18" s="9">
        <f>F15</f>
        <v>1196.93</v>
      </c>
      <c r="Z18" s="101"/>
      <c r="AA18" s="11" t="s">
        <v>30</v>
      </c>
      <c r="AB18" s="8"/>
      <c r="AC18" s="8"/>
      <c r="AD18" s="12"/>
      <c r="AE18" s="12">
        <f>T16/AE17</f>
        <v>9.2150975402883795</v>
      </c>
      <c r="AF18" s="12">
        <f>U16/AF17</f>
        <v>10.047355421173664</v>
      </c>
      <c r="AG18" s="12">
        <f>V16/AG17</f>
        <v>10.612413793103448</v>
      </c>
      <c r="AH18" s="12">
        <f>W16/AH17</f>
        <v>12.571931330472102</v>
      </c>
    </row>
    <row r="19" spans="1:34" ht="15.7" customHeight="1" thickTop="1" thickBot="1">
      <c r="A19" s="32" t="s">
        <v>10</v>
      </c>
      <c r="B19" s="46"/>
      <c r="C19" s="46"/>
      <c r="D19" s="46"/>
      <c r="E19" s="46"/>
      <c r="F19" s="46"/>
      <c r="O19" s="101"/>
      <c r="P19" s="8"/>
      <c r="Q19" s="104" t="s">
        <v>31</v>
      </c>
      <c r="R19" s="103"/>
      <c r="S19" s="9">
        <f t="shared" ref="S19:W19" si="1">S16-S21</f>
        <v>0</v>
      </c>
      <c r="T19" s="9">
        <f t="shared" si="1"/>
        <v>-306649.94999999995</v>
      </c>
      <c r="U19" s="9">
        <f t="shared" si="1"/>
        <v>-322937.75</v>
      </c>
      <c r="V19" s="9">
        <f t="shared" si="1"/>
        <v>-325003.05000000005</v>
      </c>
      <c r="W19" s="9">
        <f t="shared" si="1"/>
        <v>-393863.07000000007</v>
      </c>
      <c r="Z19" s="101"/>
      <c r="AA19" s="106" t="s">
        <v>32</v>
      </c>
      <c r="AB19" s="102"/>
      <c r="AC19" s="103"/>
      <c r="AD19" s="9"/>
      <c r="AE19" s="9">
        <v>632140</v>
      </c>
      <c r="AF19" s="9">
        <v>803160</v>
      </c>
      <c r="AG19" s="9">
        <v>812240</v>
      </c>
      <c r="AH19" s="9">
        <v>921310</v>
      </c>
    </row>
    <row r="20" spans="1:34" ht="15.7" customHeight="1" thickTop="1" thickBot="1">
      <c r="A20" s="32" t="s">
        <v>11</v>
      </c>
      <c r="B20" s="47"/>
      <c r="C20" s="47"/>
      <c r="D20" s="46"/>
      <c r="E20" s="47"/>
      <c r="F20" s="47"/>
      <c r="O20" s="101"/>
      <c r="P20" s="8"/>
      <c r="Q20" s="104" t="s">
        <v>33</v>
      </c>
      <c r="R20" s="103"/>
      <c r="S20" s="12" t="e">
        <f t="shared" ref="S20:W20" si="2">S19/S16</f>
        <v>#DIV/0!</v>
      </c>
      <c r="T20" s="12">
        <f t="shared" si="2"/>
        <v>-0.28224688437678325</v>
      </c>
      <c r="U20" s="12">
        <f t="shared" si="2"/>
        <v>-0.27375493786345217</v>
      </c>
      <c r="V20" s="12">
        <f t="shared" si="2"/>
        <v>-0.26400689660774634</v>
      </c>
      <c r="W20" s="12">
        <f t="shared" si="2"/>
        <v>-0.26891642940537885</v>
      </c>
      <c r="Z20" s="101"/>
      <c r="AA20" s="106" t="s">
        <v>34</v>
      </c>
      <c r="AB20" s="102"/>
      <c r="AC20" s="103"/>
      <c r="AD20" s="9"/>
      <c r="AE20" s="9">
        <f>C23</f>
        <v>0.53</v>
      </c>
      <c r="AF20" s="9">
        <f>D23</f>
        <v>0.38</v>
      </c>
      <c r="AG20" s="9">
        <f>E23</f>
        <v>565.97</v>
      </c>
      <c r="AH20" s="9">
        <f>F23</f>
        <v>184.46</v>
      </c>
    </row>
    <row r="21" spans="1:34" ht="15.7" customHeight="1" thickTop="1" thickBot="1">
      <c r="A21" s="32" t="s">
        <v>12</v>
      </c>
      <c r="B21" s="45"/>
      <c r="C21" s="45">
        <v>22.87</v>
      </c>
      <c r="D21" s="45">
        <v>45.15</v>
      </c>
      <c r="E21" s="45">
        <v>75.72</v>
      </c>
      <c r="F21" s="45">
        <v>439.71</v>
      </c>
      <c r="O21" s="101"/>
      <c r="P21" s="104" t="s">
        <v>35</v>
      </c>
      <c r="Q21" s="102"/>
      <c r="R21" s="103"/>
      <c r="S21" s="9">
        <f t="shared" ref="S21:W21" si="3">S23+S17</f>
        <v>0</v>
      </c>
      <c r="T21" s="9">
        <f t="shared" si="3"/>
        <v>1393109.95</v>
      </c>
      <c r="U21" s="9">
        <f t="shared" si="3"/>
        <v>1502597.75</v>
      </c>
      <c r="V21" s="9">
        <f t="shared" si="3"/>
        <v>1556043.05</v>
      </c>
      <c r="W21" s="9">
        <f t="shared" si="3"/>
        <v>1858493.07</v>
      </c>
      <c r="Z21" s="101"/>
      <c r="AA21" s="11" t="s">
        <v>36</v>
      </c>
      <c r="AB21" s="8"/>
      <c r="AC21" s="8"/>
      <c r="AD21" s="12"/>
      <c r="AE21" s="12">
        <f t="shared" ref="AE21:AH21" si="4">AE20/AE27</f>
        <v>2.569572384369243E-3</v>
      </c>
      <c r="AF21" s="12">
        <f t="shared" si="4"/>
        <v>1.406834252711858E-3</v>
      </c>
      <c r="AG21" s="12">
        <f t="shared" si="4"/>
        <v>0.71861906092079531</v>
      </c>
      <c r="AH21" s="12">
        <f t="shared" si="4"/>
        <v>0.23930049427240765</v>
      </c>
    </row>
    <row r="22" spans="1:34" ht="15.7" customHeight="1" thickTop="1" thickBot="1">
      <c r="A22" s="32" t="s">
        <v>13</v>
      </c>
      <c r="B22" s="109">
        <v>121424.9</v>
      </c>
      <c r="C22" s="109">
        <v>117900</v>
      </c>
      <c r="D22" s="109">
        <v>117410</v>
      </c>
      <c r="E22" s="109">
        <v>116000</v>
      </c>
      <c r="F22" s="109">
        <v>116500</v>
      </c>
      <c r="O22" s="101"/>
      <c r="P22" s="8"/>
      <c r="Q22" s="104" t="s">
        <v>37</v>
      </c>
      <c r="R22" s="103"/>
      <c r="S22" s="12" t="e">
        <f t="shared" ref="S22:W22" si="5">S21/S16</f>
        <v>#DIV/0!</v>
      </c>
      <c r="T22" s="12">
        <f t="shared" si="5"/>
        <v>1.2822468843767834</v>
      </c>
      <c r="U22" s="12">
        <f t="shared" si="5"/>
        <v>1.2737549378634523</v>
      </c>
      <c r="V22" s="12">
        <f t="shared" si="5"/>
        <v>1.2640068966077462</v>
      </c>
      <c r="W22" s="12">
        <f t="shared" si="5"/>
        <v>1.268916429405379</v>
      </c>
      <c r="Z22" s="101"/>
      <c r="AA22" s="106" t="s">
        <v>38</v>
      </c>
      <c r="AB22" s="102"/>
      <c r="AC22" s="103"/>
      <c r="AD22" s="9"/>
      <c r="AE22" s="9">
        <f>C27</f>
        <v>7.13</v>
      </c>
      <c r="AF22" s="9">
        <f>D27</f>
        <v>28.08</v>
      </c>
      <c r="AG22" s="9">
        <f>E27</f>
        <v>7.71</v>
      </c>
      <c r="AH22" s="9">
        <f>F27</f>
        <v>215.77</v>
      </c>
    </row>
    <row r="23" spans="1:34" ht="15.7" customHeight="1" thickTop="1" thickBot="1">
      <c r="A23" s="32" t="s">
        <v>14</v>
      </c>
      <c r="B23" s="45"/>
      <c r="C23" s="45">
        <v>0.53</v>
      </c>
      <c r="D23" s="45">
        <v>0.38</v>
      </c>
      <c r="E23" s="45">
        <v>565.97</v>
      </c>
      <c r="F23" s="45">
        <v>184.46</v>
      </c>
      <c r="O23" s="101"/>
      <c r="P23" s="105" t="s">
        <v>39</v>
      </c>
      <c r="Q23" s="103"/>
      <c r="R23" s="8"/>
      <c r="S23" s="9">
        <f>B11</f>
        <v>0</v>
      </c>
      <c r="T23" s="9">
        <f>C11</f>
        <v>306730</v>
      </c>
      <c r="U23" s="9">
        <f>D11</f>
        <v>323080</v>
      </c>
      <c r="V23" s="9">
        <f>E11</f>
        <v>325160</v>
      </c>
      <c r="W23" s="9">
        <f>F11</f>
        <v>395060</v>
      </c>
      <c r="Z23" s="101"/>
      <c r="AA23" s="11" t="s">
        <v>40</v>
      </c>
      <c r="AB23" s="8"/>
      <c r="AC23" s="8"/>
      <c r="AD23" s="12"/>
      <c r="AE23" s="12">
        <f>T16/AE22</f>
        <v>152378.68162692848</v>
      </c>
      <c r="AF23" s="12">
        <f>U16/AF22</f>
        <v>42010.683760683765</v>
      </c>
      <c r="AG23" s="12">
        <f>V16/AG22</f>
        <v>159667.96368352789</v>
      </c>
      <c r="AH23" s="12">
        <f>W16/AH22</f>
        <v>6787.9223246975944</v>
      </c>
    </row>
    <row r="24" spans="1:34" ht="15.7" customHeight="1" thickTop="1" thickBot="1">
      <c r="A24" s="32" t="s">
        <v>15</v>
      </c>
      <c r="B24" s="109">
        <v>488130</v>
      </c>
      <c r="C24" s="109">
        <v>632140</v>
      </c>
      <c r="D24" s="109">
        <v>803160</v>
      </c>
      <c r="E24" s="109">
        <v>812240</v>
      </c>
      <c r="F24" s="109">
        <v>921310</v>
      </c>
      <c r="O24" s="101"/>
      <c r="P24" s="8"/>
      <c r="Q24" s="104" t="s">
        <v>41</v>
      </c>
      <c r="R24" s="103"/>
      <c r="S24" s="12" t="e">
        <f t="shared" ref="S24:W24" si="6">S23/S16</f>
        <v>#DIV/0!</v>
      </c>
      <c r="T24" s="12">
        <f t="shared" si="6"/>
        <v>0.28232056403365058</v>
      </c>
      <c r="U24" s="12">
        <f t="shared" si="6"/>
        <v>0.27387552345591104</v>
      </c>
      <c r="V24" s="12">
        <f t="shared" si="6"/>
        <v>0.26413439043410447</v>
      </c>
      <c r="W24" s="12">
        <f t="shared" si="6"/>
        <v>0.26973365286795981</v>
      </c>
      <c r="Z24" s="101"/>
      <c r="AA24" s="106" t="s">
        <v>16</v>
      </c>
      <c r="AB24" s="103"/>
      <c r="AC24" s="8"/>
      <c r="AD24" s="9"/>
      <c r="AE24" s="9"/>
      <c r="AF24" s="9"/>
      <c r="AG24" s="9"/>
      <c r="AH24" s="9"/>
    </row>
    <row r="25" spans="1:34" ht="15.7" customHeight="1" thickTop="1" thickBot="1">
      <c r="A25" s="32" t="s">
        <v>16</v>
      </c>
      <c r="B25" s="47"/>
      <c r="C25" s="47"/>
      <c r="D25" s="46"/>
      <c r="E25" s="46"/>
      <c r="F25" s="46"/>
      <c r="O25" s="101"/>
      <c r="P25" s="8"/>
      <c r="Q25" s="104" t="s">
        <v>42</v>
      </c>
      <c r="R25" s="103"/>
      <c r="S25" s="9">
        <f t="shared" ref="S25:W25" si="7">S23-S26-S30</f>
        <v>0</v>
      </c>
      <c r="T25" s="9">
        <f t="shared" si="7"/>
        <v>306703.07</v>
      </c>
      <c r="U25" s="9">
        <f t="shared" si="7"/>
        <v>323020.24</v>
      </c>
      <c r="V25" s="9">
        <f t="shared" si="7"/>
        <v>325090.58999999997</v>
      </c>
      <c r="W25" s="9">
        <f t="shared" si="7"/>
        <v>395148.72</v>
      </c>
      <c r="Z25" s="101"/>
      <c r="AA25" s="11" t="s">
        <v>43</v>
      </c>
      <c r="AB25" s="8"/>
      <c r="AC25" s="8"/>
      <c r="AD25" s="12"/>
      <c r="AE25" s="12"/>
      <c r="AF25" s="12"/>
      <c r="AG25" s="12"/>
      <c r="AH25" s="12"/>
    </row>
    <row r="26" spans="1:34" ht="15.55" thickTop="1" thickBot="1">
      <c r="A26" s="32" t="s">
        <v>17</v>
      </c>
      <c r="B26" s="45"/>
      <c r="C26" s="45">
        <v>206.26</v>
      </c>
      <c r="D26" s="45">
        <v>270.11</v>
      </c>
      <c r="E26" s="45">
        <v>787.58</v>
      </c>
      <c r="F26" s="45">
        <v>770.83</v>
      </c>
      <c r="O26" s="101"/>
      <c r="P26" s="105" t="s">
        <v>44</v>
      </c>
      <c r="Q26" s="103"/>
      <c r="R26" s="8"/>
      <c r="S26" s="9">
        <f>B12</f>
        <v>0</v>
      </c>
      <c r="T26" s="9">
        <f>C12</f>
        <v>26.93</v>
      </c>
      <c r="U26" s="9">
        <f>D12</f>
        <v>59.73</v>
      </c>
      <c r="V26" s="9">
        <f>E12</f>
        <v>69.39</v>
      </c>
      <c r="W26" s="9">
        <f>F12</f>
        <v>-88.79</v>
      </c>
      <c r="Z26" s="101"/>
      <c r="AA26" s="8"/>
      <c r="AB26" s="8"/>
      <c r="AC26" s="8"/>
      <c r="AD26" s="8"/>
      <c r="AE26" s="8"/>
      <c r="AF26" s="8"/>
      <c r="AG26" s="8"/>
      <c r="AH26" s="8"/>
    </row>
    <row r="27" spans="1:34" ht="17.3" thickTop="1" thickBot="1">
      <c r="A27" s="32" t="s">
        <v>18</v>
      </c>
      <c r="B27" s="45"/>
      <c r="C27" s="45">
        <v>7.13</v>
      </c>
      <c r="D27" s="45">
        <v>28.08</v>
      </c>
      <c r="E27" s="45">
        <v>7.71</v>
      </c>
      <c r="F27" s="45">
        <v>215.77</v>
      </c>
      <c r="O27" s="101"/>
      <c r="P27" s="8"/>
      <c r="Q27" s="104" t="s">
        <v>45</v>
      </c>
      <c r="R27" s="103"/>
      <c r="S27" s="9">
        <f t="shared" ref="S27:W27" si="8">S23-S25-S28</f>
        <v>0</v>
      </c>
      <c r="T27" s="9">
        <f t="shared" si="8"/>
        <v>1.1499999999930139</v>
      </c>
      <c r="U27" s="9">
        <f t="shared" si="8"/>
        <v>2.0500000000093124</v>
      </c>
      <c r="V27" s="9">
        <f t="shared" si="8"/>
        <v>1.7100000000325934</v>
      </c>
      <c r="W27" s="9">
        <f t="shared" si="8"/>
        <v>2.3200000000279459</v>
      </c>
      <c r="Z27" s="101"/>
      <c r="AA27" s="106" t="s">
        <v>46</v>
      </c>
      <c r="AB27" s="103"/>
      <c r="AC27" s="8"/>
      <c r="AD27" s="9"/>
      <c r="AE27" s="9">
        <f>C26</f>
        <v>206.26</v>
      </c>
      <c r="AF27" s="9">
        <f>D26</f>
        <v>270.11</v>
      </c>
      <c r="AG27" s="9">
        <f>E26</f>
        <v>787.58</v>
      </c>
      <c r="AH27" s="9">
        <f>F26</f>
        <v>770.83</v>
      </c>
    </row>
    <row r="28" spans="1:34" ht="15.55" thickTop="1" thickBot="1">
      <c r="A28" s="32" t="s">
        <v>19</v>
      </c>
      <c r="B28" s="45"/>
      <c r="C28" s="45">
        <v>17.43</v>
      </c>
      <c r="D28" s="45">
        <v>38.74</v>
      </c>
      <c r="E28" s="45">
        <v>33.42</v>
      </c>
      <c r="F28" s="45">
        <v>134.08000000000001</v>
      </c>
      <c r="O28" s="101"/>
      <c r="P28" s="104" t="s">
        <v>47</v>
      </c>
      <c r="Q28" s="103"/>
      <c r="R28" s="8"/>
      <c r="S28" s="9">
        <f t="shared" ref="S28:W28" si="9">S30+S31</f>
        <v>0</v>
      </c>
      <c r="T28" s="9">
        <f t="shared" si="9"/>
        <v>25.78</v>
      </c>
      <c r="U28" s="9">
        <f t="shared" si="9"/>
        <v>57.71</v>
      </c>
      <c r="V28" s="9">
        <f t="shared" si="9"/>
        <v>67.7</v>
      </c>
      <c r="W28" s="9">
        <f t="shared" si="9"/>
        <v>-91.04</v>
      </c>
      <c r="Z28" s="101"/>
      <c r="AA28" s="8"/>
      <c r="AB28" s="8"/>
      <c r="AC28" s="8"/>
      <c r="AD28" s="8"/>
      <c r="AE28" s="8"/>
      <c r="AF28" s="8"/>
      <c r="AG28" s="8"/>
      <c r="AH28" s="8"/>
    </row>
    <row r="29" spans="1:34" ht="17.3" thickTop="1" thickBot="1">
      <c r="A29" s="407" t="s">
        <v>20</v>
      </c>
      <c r="B29" s="408"/>
      <c r="C29" s="408">
        <v>206.26</v>
      </c>
      <c r="D29" s="408">
        <v>270.11</v>
      </c>
      <c r="E29" s="408">
        <v>787.58</v>
      </c>
      <c r="F29" s="408">
        <v>770.83</v>
      </c>
      <c r="O29" s="101"/>
      <c r="P29" s="8"/>
      <c r="Q29" s="104" t="s">
        <v>48</v>
      </c>
      <c r="R29" s="103"/>
      <c r="S29" s="12" t="e">
        <f t="shared" ref="S29:W29" si="10">S28/S16</f>
        <v>#DIV/0!</v>
      </c>
      <c r="T29" s="12">
        <f t="shared" si="10"/>
        <v>2.372843915100418E-5</v>
      </c>
      <c r="U29" s="12">
        <f t="shared" si="10"/>
        <v>4.8920875506501877E-5</v>
      </c>
      <c r="V29" s="12">
        <f t="shared" si="10"/>
        <v>5.4994151286716928E-5</v>
      </c>
      <c r="W29" s="12">
        <f t="shared" si="10"/>
        <v>-6.2159043580972678E-5</v>
      </c>
      <c r="Z29" s="101"/>
      <c r="AA29" s="107" t="s">
        <v>49</v>
      </c>
      <c r="AB29" s="102"/>
      <c r="AC29" s="103"/>
      <c r="AD29" s="8"/>
      <c r="AE29" s="8"/>
      <c r="AF29" s="8"/>
      <c r="AG29" s="8"/>
      <c r="AH29" s="8"/>
    </row>
    <row r="30" spans="1:34" ht="17.3" thickTop="1" thickBot="1">
      <c r="A30" s="93" t="s">
        <v>45</v>
      </c>
      <c r="B30" s="86">
        <v>2.6999999999999993</v>
      </c>
      <c r="C30" s="393">
        <v>18879</v>
      </c>
      <c r="D30" s="393">
        <v>19870</v>
      </c>
      <c r="E30" s="393">
        <v>20130</v>
      </c>
      <c r="F30" s="393">
        <v>20550</v>
      </c>
      <c r="G30" s="86"/>
      <c r="H30" s="86"/>
      <c r="I30" s="86"/>
      <c r="J30" s="86"/>
      <c r="O30" s="101"/>
      <c r="P30" s="105" t="s">
        <v>50</v>
      </c>
      <c r="Q30" s="103"/>
      <c r="R30" s="8"/>
      <c r="S30" s="9">
        <f>B16</f>
        <v>0</v>
      </c>
      <c r="T30" s="9">
        <f>C16</f>
        <v>0</v>
      </c>
      <c r="U30" s="9">
        <f>D16</f>
        <v>0.03</v>
      </c>
      <c r="V30" s="9">
        <f>E16</f>
        <v>0.02</v>
      </c>
      <c r="W30" s="9">
        <f>F16</f>
        <v>7.0000000000000007E-2</v>
      </c>
      <c r="Z30" s="101"/>
      <c r="AA30" s="106" t="s">
        <v>51</v>
      </c>
      <c r="AB30" s="102"/>
      <c r="AC30" s="103"/>
      <c r="AD30" s="9"/>
      <c r="AE30" s="9">
        <f>C21</f>
        <v>22.87</v>
      </c>
      <c r="AF30" s="9">
        <f>D21</f>
        <v>45.15</v>
      </c>
      <c r="AG30" s="9">
        <f>E21</f>
        <v>75.72</v>
      </c>
      <c r="AH30" s="9">
        <f>F21</f>
        <v>439.71</v>
      </c>
    </row>
    <row r="31" spans="1:34" ht="16.7" thickTop="1" thickBot="1">
      <c r="A31" s="86"/>
      <c r="B31" s="86"/>
      <c r="C31" s="86"/>
      <c r="D31" s="86"/>
      <c r="E31" s="86"/>
      <c r="F31" s="86"/>
      <c r="G31" s="86"/>
      <c r="H31" s="86"/>
      <c r="I31" s="86"/>
      <c r="J31" s="86"/>
      <c r="O31" s="101"/>
      <c r="P31" s="13" t="s">
        <v>52</v>
      </c>
      <c r="Q31" s="8"/>
      <c r="R31" s="8"/>
      <c r="S31" s="9">
        <f>B13</f>
        <v>0</v>
      </c>
      <c r="T31" s="9">
        <f>C13</f>
        <v>25.78</v>
      </c>
      <c r="U31" s="9">
        <f>D13</f>
        <v>57.68</v>
      </c>
      <c r="V31" s="9">
        <f>E13</f>
        <v>67.680000000000007</v>
      </c>
      <c r="W31" s="9">
        <f>F13</f>
        <v>-91.11</v>
      </c>
      <c r="Z31" s="101"/>
      <c r="AA31" s="11" t="s">
        <v>53</v>
      </c>
      <c r="AB31" s="8"/>
      <c r="AC31" s="8"/>
      <c r="AD31" s="12"/>
      <c r="AE31" s="12">
        <v>155690</v>
      </c>
      <c r="AF31" s="12">
        <v>145120</v>
      </c>
      <c r="AG31" s="12">
        <v>178280</v>
      </c>
      <c r="AH31" s="12">
        <v>220840</v>
      </c>
    </row>
    <row r="32" spans="1:34" ht="17.3" thickTop="1" thickBot="1">
      <c r="A32" s="409" t="s">
        <v>88</v>
      </c>
      <c r="B32" s="86"/>
      <c r="C32" s="410"/>
      <c r="D32" s="410">
        <f>(D10-C10)/C10</f>
        <v>8.5783185759254824E-2</v>
      </c>
      <c r="E32" s="410">
        <f>(E10-D10)/D10</f>
        <v>4.3554922604818337E-2</v>
      </c>
      <c r="F32" s="410">
        <f>(F10-E10)/E10</f>
        <v>0.18975012997140628</v>
      </c>
      <c r="G32" s="86"/>
      <c r="H32" s="93" t="s">
        <v>89</v>
      </c>
      <c r="I32" s="86"/>
      <c r="J32" s="395">
        <f>AVERAGE(C32:F32)</f>
        <v>0.10636274611182649</v>
      </c>
      <c r="O32" s="101"/>
      <c r="P32" s="8"/>
      <c r="Q32" s="104" t="s">
        <v>54</v>
      </c>
      <c r="R32" s="103"/>
      <c r="S32" s="12" t="e">
        <f t="shared" ref="S32:W32" si="11">S31/S16</f>
        <v>#DIV/0!</v>
      </c>
      <c r="T32" s="12">
        <f t="shared" si="11"/>
        <v>2.372843915100418E-5</v>
      </c>
      <c r="U32" s="12">
        <f t="shared" si="11"/>
        <v>4.8895444450095791E-5</v>
      </c>
      <c r="V32" s="12">
        <f t="shared" si="11"/>
        <v>5.4977904860930602E-5</v>
      </c>
      <c r="W32" s="12">
        <f t="shared" si="11"/>
        <v>-6.2206837221687384E-5</v>
      </c>
      <c r="Z32" s="101"/>
      <c r="AA32" s="106" t="s">
        <v>19</v>
      </c>
      <c r="AB32" s="103"/>
      <c r="AC32" s="8"/>
      <c r="AD32" s="9"/>
      <c r="AE32" s="9">
        <f>C28</f>
        <v>17.43</v>
      </c>
      <c r="AF32" s="9">
        <f>D28</f>
        <v>38.74</v>
      </c>
      <c r="AG32" s="9">
        <f>E28</f>
        <v>33.42</v>
      </c>
      <c r="AH32" s="9">
        <f>F28</f>
        <v>134.08000000000001</v>
      </c>
    </row>
    <row r="33" spans="1:34" ht="17.3" thickTop="1" thickBot="1">
      <c r="A33" s="409" t="s">
        <v>90</v>
      </c>
      <c r="B33" s="410"/>
      <c r="C33" s="410"/>
      <c r="D33" s="410">
        <f t="shared" ref="D33:E33" si="12">D11/D10</f>
        <v>0.27387552345591104</v>
      </c>
      <c r="E33" s="410">
        <f t="shared" si="12"/>
        <v>0.26413439043410447</v>
      </c>
      <c r="F33" s="410">
        <f>F11/F10</f>
        <v>0.26973365286795981</v>
      </c>
      <c r="G33" s="86"/>
      <c r="H33" s="411" t="s">
        <v>90</v>
      </c>
      <c r="I33" s="411"/>
      <c r="J33" s="412">
        <f>AVERAGE(B33:F33)</f>
        <v>0.26924785558599179</v>
      </c>
      <c r="O33" s="101"/>
      <c r="P33" s="8"/>
      <c r="Q33" s="14" t="s">
        <v>55</v>
      </c>
      <c r="R33" s="8"/>
      <c r="S33" s="9">
        <f t="shared" ref="S33:W33" si="13">S31-S35</f>
        <v>0</v>
      </c>
      <c r="T33" s="9">
        <f t="shared" si="13"/>
        <v>15.14</v>
      </c>
      <c r="U33" s="9">
        <f t="shared" si="13"/>
        <v>17.04</v>
      </c>
      <c r="V33" s="9">
        <f t="shared" si="13"/>
        <v>23.990000000000009</v>
      </c>
      <c r="W33" s="9">
        <f t="shared" si="13"/>
        <v>-32.85</v>
      </c>
      <c r="Z33" s="101"/>
      <c r="AA33" s="106" t="s">
        <v>56</v>
      </c>
      <c r="AB33" s="102"/>
      <c r="AC33" s="103"/>
      <c r="AD33" s="9"/>
      <c r="AE33" s="9">
        <f>C19</f>
        <v>0</v>
      </c>
      <c r="AF33" s="9">
        <f>D19</f>
        <v>0</v>
      </c>
      <c r="AG33" s="9">
        <f>E19</f>
        <v>0</v>
      </c>
      <c r="AH33" s="9">
        <f>F19</f>
        <v>0</v>
      </c>
    </row>
    <row r="34" spans="1:34" ht="16.7" thickTop="1" thickBot="1">
      <c r="A34" s="409" t="s">
        <v>91</v>
      </c>
      <c r="B34" s="86"/>
      <c r="C34" s="410">
        <f>C30/C22</f>
        <v>0.16012722646310432</v>
      </c>
      <c r="D34" s="410">
        <f>D30/D22</f>
        <v>0.16923601056128099</v>
      </c>
      <c r="E34" s="410">
        <f>E30/E22</f>
        <v>0.17353448275862068</v>
      </c>
      <c r="F34" s="410">
        <f>F30/F22</f>
        <v>0.17639484978540773</v>
      </c>
      <c r="G34" s="86"/>
      <c r="H34" s="409" t="s">
        <v>91</v>
      </c>
      <c r="I34" s="411"/>
      <c r="J34" s="412">
        <f>AVERAGE(C34:F34)</f>
        <v>0.16982314239210344</v>
      </c>
      <c r="O34" s="101"/>
      <c r="P34" s="8"/>
      <c r="Q34" s="104" t="s">
        <v>57</v>
      </c>
      <c r="R34" s="108"/>
      <c r="S34" s="12" t="e">
        <f t="shared" ref="S34:W34" si="14">S33/S31</f>
        <v>#DIV/0!</v>
      </c>
      <c r="T34" s="12">
        <f t="shared" si="14"/>
        <v>0.58727695888285492</v>
      </c>
      <c r="U34" s="12">
        <f t="shared" si="14"/>
        <v>0.29542302357836336</v>
      </c>
      <c r="V34" s="12">
        <f t="shared" si="14"/>
        <v>0.35446217494089843</v>
      </c>
      <c r="W34" s="12">
        <f t="shared" si="14"/>
        <v>0.36055317747777416</v>
      </c>
      <c r="Z34" s="101"/>
      <c r="AA34" s="11" t="s">
        <v>58</v>
      </c>
      <c r="AB34" s="8"/>
      <c r="AC34" s="8"/>
      <c r="AD34" s="12"/>
      <c r="AE34" s="12">
        <f t="shared" ref="AE34:AH34" si="15">AE33/AE40</f>
        <v>0</v>
      </c>
      <c r="AF34" s="12">
        <f t="shared" si="15"/>
        <v>0</v>
      </c>
      <c r="AG34" s="12">
        <f t="shared" si="15"/>
        <v>0</v>
      </c>
      <c r="AH34" s="12">
        <f t="shared" si="15"/>
        <v>0</v>
      </c>
    </row>
    <row r="35" spans="1:34" ht="17.3" thickTop="1" thickBot="1">
      <c r="A35" s="409" t="s">
        <v>93</v>
      </c>
      <c r="B35" s="86"/>
      <c r="C35" s="393">
        <f>C22-B22+C30</f>
        <v>15354.100000000006</v>
      </c>
      <c r="D35" s="86">
        <f>D22-C22+D30</f>
        <v>19380</v>
      </c>
      <c r="E35" s="86">
        <f t="shared" ref="E35" si="16">E22-D22+E30</f>
        <v>18720</v>
      </c>
      <c r="F35" s="86">
        <f>F22-E22+F30</f>
        <v>21050</v>
      </c>
      <c r="G35" s="86"/>
      <c r="H35" s="411"/>
      <c r="I35" s="411"/>
      <c r="J35" s="411"/>
      <c r="O35" s="101"/>
      <c r="P35" s="13" t="s">
        <v>59</v>
      </c>
      <c r="Q35" s="8"/>
      <c r="R35" s="8"/>
      <c r="S35" s="9">
        <f>B14</f>
        <v>0</v>
      </c>
      <c r="T35" s="9">
        <f>C14</f>
        <v>10.64</v>
      </c>
      <c r="U35" s="9">
        <f>D14</f>
        <v>40.64</v>
      </c>
      <c r="V35" s="9">
        <f>E14</f>
        <v>43.69</v>
      </c>
      <c r="W35" s="9">
        <f>F14</f>
        <v>-58.26</v>
      </c>
      <c r="Z35" s="101"/>
      <c r="AA35" s="106" t="s">
        <v>60</v>
      </c>
      <c r="AB35" s="102"/>
      <c r="AC35" s="103"/>
      <c r="AD35" s="9"/>
      <c r="AE35" s="9">
        <f>C20</f>
        <v>0</v>
      </c>
      <c r="AF35" s="9">
        <f>D20</f>
        <v>0</v>
      </c>
      <c r="AG35" s="9">
        <f>E20</f>
        <v>0</v>
      </c>
      <c r="AH35" s="9">
        <f>F20</f>
        <v>0</v>
      </c>
    </row>
    <row r="36" spans="1:34" ht="17.3" thickTop="1" thickBot="1">
      <c r="A36" s="409" t="s">
        <v>92</v>
      </c>
      <c r="B36" s="86"/>
      <c r="C36" s="410">
        <f>C35/C10</f>
        <v>1.4132227601568402E-2</v>
      </c>
      <c r="D36" s="410">
        <f t="shared" ref="D36:F36" si="17">D35/D10</f>
        <v>1.642846243832969E-2</v>
      </c>
      <c r="E36" s="410">
        <f t="shared" si="17"/>
        <v>1.520665453600208E-2</v>
      </c>
      <c r="F36" s="410">
        <f t="shared" si="17"/>
        <v>1.4372230529212156E-2</v>
      </c>
      <c r="G36" s="86"/>
      <c r="H36" s="409" t="s">
        <v>92</v>
      </c>
      <c r="I36" s="411"/>
      <c r="J36" s="412">
        <f>AVERAGE(C36:F36)</f>
        <v>1.5034893776278084E-2</v>
      </c>
      <c r="O36" s="101"/>
      <c r="P36" s="8"/>
      <c r="Q36" s="104" t="s">
        <v>61</v>
      </c>
      <c r="R36" s="108"/>
      <c r="S36" s="12" t="e">
        <f t="shared" ref="S36:W36" si="18">S35/S16</f>
        <v>#DIV/0!</v>
      </c>
      <c r="T36" s="12">
        <f t="shared" si="18"/>
        <v>9.7932735673655729E-6</v>
      </c>
      <c r="U36" s="12">
        <f t="shared" si="18"/>
        <v>3.4450604411440585E-5</v>
      </c>
      <c r="V36" s="12">
        <f t="shared" si="18"/>
        <v>3.5490317130231344E-5</v>
      </c>
      <c r="W36" s="12">
        <f t="shared" si="18"/>
        <v>-3.9777964400565329E-5</v>
      </c>
      <c r="Z36" s="101"/>
      <c r="AA36" s="106" t="s">
        <v>62</v>
      </c>
      <c r="AB36" s="102"/>
      <c r="AC36" s="103"/>
      <c r="AD36" s="9"/>
      <c r="AE36" s="9">
        <f>C18</f>
        <v>171.91</v>
      </c>
      <c r="AF36" s="9">
        <f>D18</f>
        <v>212.5</v>
      </c>
      <c r="AG36" s="9">
        <f>E18</f>
        <v>196.37</v>
      </c>
      <c r="AH36" s="9">
        <f>F18</f>
        <v>137.96</v>
      </c>
    </row>
    <row r="37" spans="1:34" ht="16.7" thickTop="1" thickBot="1">
      <c r="A37" s="409" t="s">
        <v>94</v>
      </c>
      <c r="B37" s="86"/>
      <c r="C37" s="86">
        <v>632117.13</v>
      </c>
      <c r="D37" s="86">
        <v>803114.85</v>
      </c>
      <c r="E37" s="86">
        <v>812164.28</v>
      </c>
      <c r="F37" s="86">
        <v>920870.29</v>
      </c>
      <c r="G37" s="86"/>
      <c r="H37" s="411"/>
      <c r="I37" s="411"/>
      <c r="J37" s="411"/>
      <c r="O37" s="101"/>
      <c r="P37" s="101"/>
      <c r="Q37" s="101"/>
      <c r="R37" s="101"/>
      <c r="S37" s="101"/>
      <c r="T37" s="101"/>
      <c r="Z37" s="101"/>
      <c r="AA37" s="11" t="s">
        <v>63</v>
      </c>
      <c r="AB37" s="8"/>
      <c r="AC37" s="8"/>
      <c r="AD37" s="12"/>
      <c r="AE37" s="12">
        <f t="shared" ref="AE37:AH37" si="19">AE36/AE40</f>
        <v>0.83346261999418214</v>
      </c>
      <c r="AF37" s="12">
        <f t="shared" si="19"/>
        <v>0.78671652289807847</v>
      </c>
      <c r="AG37" s="12">
        <f t="shared" si="19"/>
        <v>0.24933340105132176</v>
      </c>
      <c r="AH37" s="12">
        <f t="shared" si="19"/>
        <v>0.17897590908501226</v>
      </c>
    </row>
    <row r="38" spans="1:34" ht="17.3" thickTop="1" thickBot="1">
      <c r="A38" s="409" t="s">
        <v>95</v>
      </c>
      <c r="B38" s="410"/>
      <c r="C38" s="410">
        <f>C37/C10</f>
        <v>0.58181353202142738</v>
      </c>
      <c r="D38" s="410">
        <f>D37/D10</f>
        <v>0.68080196836376583</v>
      </c>
      <c r="E38" s="410">
        <f t="shared" ref="E38:F38" si="20">E37/E10</f>
        <v>0.65973833506628543</v>
      </c>
      <c r="F38" s="410">
        <f t="shared" si="20"/>
        <v>0.6287391969302828</v>
      </c>
      <c r="G38" s="86"/>
      <c r="H38" s="409" t="s">
        <v>95</v>
      </c>
      <c r="I38" s="411"/>
      <c r="J38" s="412">
        <f>AVERAGE(B38:F38)</f>
        <v>0.63777325809544028</v>
      </c>
      <c r="O38" s="101"/>
      <c r="P38" s="101"/>
      <c r="Q38" s="101"/>
      <c r="R38" s="101"/>
      <c r="S38" s="101"/>
      <c r="T38" s="101"/>
      <c r="Z38" s="101"/>
      <c r="AA38" s="106" t="s">
        <v>8</v>
      </c>
      <c r="AB38" s="103"/>
      <c r="AC38" s="8"/>
      <c r="AD38" s="9"/>
      <c r="AE38" s="9">
        <f>C17</f>
        <v>10</v>
      </c>
      <c r="AF38" s="9">
        <f>D17</f>
        <v>10</v>
      </c>
      <c r="AG38" s="9">
        <f>E17</f>
        <v>10</v>
      </c>
      <c r="AH38" s="9">
        <f>F17</f>
        <v>10</v>
      </c>
    </row>
    <row r="39" spans="1:34" ht="16.7" thickTop="1" thickBot="1">
      <c r="A39" s="409" t="s">
        <v>77</v>
      </c>
      <c r="B39" s="410"/>
      <c r="C39" s="410">
        <v>0.58727695888285503</v>
      </c>
      <c r="D39" s="410">
        <v>0.29542302357836336</v>
      </c>
      <c r="E39" s="410">
        <v>0.35446217494089843</v>
      </c>
      <c r="F39" s="410">
        <v>0.36055317747777416</v>
      </c>
      <c r="G39" s="86"/>
      <c r="H39" s="409" t="s">
        <v>77</v>
      </c>
      <c r="I39" s="411"/>
      <c r="J39" s="412">
        <f>AVERAGE(B39:F39)</f>
        <v>0.39942883371997273</v>
      </c>
      <c r="Z39" s="101"/>
      <c r="AA39" s="11" t="s">
        <v>64</v>
      </c>
      <c r="AB39" s="8"/>
      <c r="AC39" s="8"/>
      <c r="AD39" s="12"/>
      <c r="AE39" s="12">
        <f t="shared" ref="AE39:AH39" si="21">AE38/AE40</f>
        <v>4.8482497818287604E-2</v>
      </c>
      <c r="AF39" s="12">
        <f t="shared" si="21"/>
        <v>3.7021954018733108E-2</v>
      </c>
      <c r="AG39" s="12">
        <f t="shared" si="21"/>
        <v>1.2697122831966275E-2</v>
      </c>
      <c r="AH39" s="12">
        <f t="shared" si="21"/>
        <v>1.2973029072558151E-2</v>
      </c>
    </row>
    <row r="40" spans="1:34" ht="17.3" thickTop="1" thickBot="1">
      <c r="A40" s="86"/>
      <c r="B40" s="86"/>
      <c r="C40" s="86"/>
      <c r="D40" s="86"/>
      <c r="E40" s="86"/>
      <c r="F40" s="86"/>
      <c r="G40" s="86"/>
      <c r="H40" s="411"/>
      <c r="I40" s="411"/>
      <c r="J40" s="411"/>
      <c r="Z40" s="101"/>
      <c r="AA40" s="106" t="s">
        <v>65</v>
      </c>
      <c r="AB40" s="102"/>
      <c r="AC40" s="103"/>
      <c r="AD40" s="9"/>
      <c r="AE40" s="9">
        <f>C29</f>
        <v>206.26</v>
      </c>
      <c r="AF40" s="9">
        <f>D29</f>
        <v>270.11</v>
      </c>
      <c r="AG40" s="9">
        <f>E29</f>
        <v>787.58</v>
      </c>
      <c r="AH40" s="9">
        <f>F29</f>
        <v>770.83</v>
      </c>
    </row>
    <row r="41" spans="1:34" ht="13.25" thickTop="1">
      <c r="A41" s="86"/>
      <c r="B41" s="86"/>
      <c r="C41" s="86"/>
      <c r="D41" s="86"/>
      <c r="E41" s="86"/>
      <c r="F41" s="86"/>
      <c r="G41" s="86"/>
      <c r="H41" s="411"/>
      <c r="I41" s="411"/>
      <c r="J41" s="411"/>
      <c r="Z41" s="101"/>
      <c r="AA41" s="5"/>
      <c r="AB41" s="5"/>
      <c r="AC41" s="5"/>
      <c r="AD41" s="5"/>
      <c r="AE41" s="5"/>
      <c r="AF41" s="5"/>
      <c r="AG41" s="5"/>
      <c r="AH41" s="5"/>
    </row>
    <row r="42" spans="1:34" ht="15.7" customHeight="1">
      <c r="A42" s="409" t="s">
        <v>96</v>
      </c>
      <c r="B42" s="395">
        <v>0.30530000000000002</v>
      </c>
      <c r="C42" s="395">
        <v>0.29799999999999999</v>
      </c>
      <c r="D42" s="413">
        <v>0.26350000000000001</v>
      </c>
      <c r="E42" s="395">
        <v>0.2772</v>
      </c>
      <c r="F42" s="395">
        <v>0.30209999999999998</v>
      </c>
      <c r="G42" s="86"/>
      <c r="H42" s="93" t="s">
        <v>96</v>
      </c>
      <c r="I42" s="86"/>
      <c r="J42" s="395">
        <f>AVERAGE(C42:F42)</f>
        <v>0.28520000000000001</v>
      </c>
      <c r="Z42" s="101"/>
      <c r="AA42" s="5"/>
      <c r="AB42" s="5"/>
      <c r="AC42" s="5"/>
      <c r="AD42" s="5"/>
      <c r="AE42" s="5"/>
      <c r="AF42" s="5"/>
      <c r="AG42" s="5"/>
      <c r="AH42" s="5"/>
    </row>
    <row r="43" spans="1:34" ht="15.7" customHeight="1">
      <c r="A43" s="409" t="s">
        <v>97</v>
      </c>
      <c r="B43" s="395">
        <v>0.19650000000000001</v>
      </c>
      <c r="C43" s="395">
        <v>0.65369999999999995</v>
      </c>
      <c r="D43" s="395">
        <v>0.61270000000000002</v>
      </c>
      <c r="E43" s="414">
        <v>0.63219999999999998</v>
      </c>
      <c r="F43" s="395">
        <v>0.66459999999999997</v>
      </c>
      <c r="G43" s="86"/>
      <c r="H43" s="411" t="s">
        <v>97</v>
      </c>
      <c r="I43" s="86"/>
      <c r="J43" s="395">
        <f>AVERAGE(C43:F43)</f>
        <v>0.64080000000000004</v>
      </c>
      <c r="Z43" s="101"/>
      <c r="AA43" s="23" t="s">
        <v>66</v>
      </c>
      <c r="AB43" s="24"/>
      <c r="AC43" s="24"/>
      <c r="AD43" s="25">
        <f>AD19-AD30</f>
        <v>0</v>
      </c>
      <c r="AE43" s="25">
        <f>AE19-AE30</f>
        <v>632117.13</v>
      </c>
      <c r="AF43" s="25">
        <f t="shared" ref="AF43:AH43" si="22">AF19-AF30</f>
        <v>803114.85</v>
      </c>
      <c r="AG43" s="25">
        <f>AG19-AG30</f>
        <v>812164.28</v>
      </c>
      <c r="AH43" s="25">
        <f t="shared" si="22"/>
        <v>920870.29</v>
      </c>
    </row>
    <row r="44" spans="1:34" ht="15.7" customHeight="1">
      <c r="A44" s="409" t="s">
        <v>96</v>
      </c>
      <c r="B44" s="86"/>
      <c r="C44" s="86"/>
      <c r="D44" s="86"/>
      <c r="E44" s="86"/>
      <c r="F44" s="86"/>
      <c r="G44" s="86"/>
      <c r="H44" s="86"/>
      <c r="I44" s="86"/>
      <c r="J44" s="86"/>
      <c r="Z44" s="101"/>
      <c r="AA44" s="24"/>
      <c r="AB44" s="24"/>
      <c r="AC44" s="24"/>
      <c r="AD44" s="24"/>
      <c r="AE44" s="25">
        <f t="shared" ref="AE44:AH44" si="23">AE43-AD43</f>
        <v>632117.13</v>
      </c>
      <c r="AF44" s="25">
        <f t="shared" si="23"/>
        <v>170997.71999999997</v>
      </c>
      <c r="AG44" s="25">
        <f t="shared" si="23"/>
        <v>9049.4300000000512</v>
      </c>
      <c r="AH44" s="25">
        <f t="shared" si="23"/>
        <v>108706.01000000001</v>
      </c>
    </row>
    <row r="45" spans="1:34" ht="15.7" customHeight="1">
      <c r="A45" s="66"/>
      <c r="Z45" s="101"/>
      <c r="AA45" s="23" t="s">
        <v>67</v>
      </c>
      <c r="AB45" s="24"/>
      <c r="AC45" s="24"/>
      <c r="AD45" s="24"/>
      <c r="AE45" s="25">
        <f t="shared" ref="AE45:AH45" si="24">AE17-AD17</f>
        <v>117900</v>
      </c>
      <c r="AF45" s="25">
        <f t="shared" si="24"/>
        <v>-490</v>
      </c>
      <c r="AG45" s="25">
        <f t="shared" si="24"/>
        <v>-1410</v>
      </c>
      <c r="AH45" s="25">
        <f t="shared" si="24"/>
        <v>500</v>
      </c>
    </row>
    <row r="46" spans="1:34" ht="15.7" customHeight="1">
      <c r="Z46" s="101"/>
      <c r="AA46" s="101"/>
      <c r="AB46" s="101"/>
      <c r="AC46" s="101"/>
      <c r="AD46" s="101"/>
    </row>
    <row r="47" spans="1:34" ht="12.7">
      <c r="Z47" s="101"/>
      <c r="AA47" s="101"/>
      <c r="AB47" s="101"/>
      <c r="AC47" s="101"/>
      <c r="AD47" s="101"/>
    </row>
    <row r="48" spans="1:34" ht="12.7">
      <c r="Z48" s="101"/>
      <c r="AA48" s="101"/>
      <c r="AB48" s="101"/>
      <c r="AC48" s="101"/>
      <c r="AD48" s="101"/>
    </row>
    <row r="49" spans="26:30" ht="12.7">
      <c r="Z49" s="101"/>
      <c r="AA49" s="101"/>
      <c r="AB49" s="101"/>
      <c r="AC49" s="101"/>
      <c r="AD49" s="101"/>
    </row>
    <row r="50" spans="26:30" ht="12.7">
      <c r="Z50" s="101"/>
      <c r="AA50" s="101"/>
      <c r="AB50" s="101"/>
      <c r="AC50" s="101"/>
      <c r="AD50" s="101"/>
    </row>
    <row r="51" spans="26:30" ht="12.7">
      <c r="Z51" s="101"/>
      <c r="AA51" s="101"/>
      <c r="AB51" s="101"/>
      <c r="AC51" s="101"/>
      <c r="AD51" s="101"/>
    </row>
    <row r="52" spans="26:30" ht="12.7">
      <c r="Z52" s="101"/>
      <c r="AA52" s="101"/>
      <c r="AB52" s="101"/>
      <c r="AC52" s="101"/>
      <c r="AD52" s="101"/>
    </row>
    <row r="53" spans="26:30" ht="12.7">
      <c r="Z53" s="101"/>
      <c r="AA53" s="101"/>
      <c r="AB53" s="101"/>
      <c r="AC53" s="101"/>
      <c r="AD53" s="101"/>
    </row>
    <row r="54" spans="26:30" ht="12.7">
      <c r="Z54" s="101"/>
      <c r="AA54" s="101"/>
      <c r="AB54" s="101"/>
      <c r="AC54" s="101"/>
      <c r="AD54" s="101"/>
    </row>
    <row r="55" spans="26:30" ht="12.7"/>
    <row r="56" spans="26:30" ht="12.7"/>
    <row r="57" spans="26:30" ht="12.7"/>
    <row r="58" spans="26:30" ht="12.7"/>
    <row r="59" spans="26:30" ht="12.7"/>
    <row r="60" spans="26:30" ht="12.7"/>
    <row r="61" spans="26:30" ht="12.7"/>
    <row r="62" spans="26:30" ht="12.7"/>
    <row r="63" spans="26:30" ht="12.7"/>
    <row r="64" spans="26:30" ht="12.7"/>
    <row r="67" spans="1:6" ht="15.7" customHeight="1" thickBot="1"/>
    <row r="68" spans="1:6" ht="15.7" customHeight="1" thickTop="1" thickBot="1">
      <c r="A68" s="8"/>
      <c r="B68" s="7">
        <v>15</v>
      </c>
      <c r="C68" s="7">
        <v>16</v>
      </c>
      <c r="D68" s="7">
        <v>17</v>
      </c>
      <c r="E68" s="7">
        <v>18</v>
      </c>
      <c r="F68" s="7">
        <v>19</v>
      </c>
    </row>
    <row r="69" spans="1:6" ht="15.7" customHeight="1" thickTop="1" thickBot="1">
      <c r="A69" s="8"/>
      <c r="B69" s="531" t="s">
        <v>68</v>
      </c>
      <c r="C69" s="529"/>
      <c r="D69" s="529"/>
      <c r="E69" s="529"/>
      <c r="F69" s="530"/>
    </row>
    <row r="70" spans="1:6" ht="15.7" customHeight="1" thickTop="1" thickBot="1">
      <c r="A70" s="13" t="s">
        <v>70</v>
      </c>
      <c r="B70" s="9">
        <f>B10</f>
        <v>0</v>
      </c>
      <c r="C70" s="9">
        <f>C10</f>
        <v>1086460</v>
      </c>
      <c r="D70" s="9">
        <f>D10</f>
        <v>1179660</v>
      </c>
      <c r="E70" s="9">
        <f>E10</f>
        <v>1231040</v>
      </c>
      <c r="F70" s="9">
        <f>F10</f>
        <v>1464630</v>
      </c>
    </row>
    <row r="71" spans="1:6" ht="15.7" customHeight="1" thickTop="1" thickBot="1">
      <c r="A71" s="14" t="s">
        <v>72</v>
      </c>
      <c r="B71" s="9">
        <f>S19</f>
        <v>0</v>
      </c>
      <c r="C71" s="9">
        <f>T19</f>
        <v>-306649.94999999995</v>
      </c>
      <c r="D71" s="9">
        <f>U19</f>
        <v>-322937.75</v>
      </c>
      <c r="E71" s="9">
        <f>V19</f>
        <v>-325003.05000000005</v>
      </c>
      <c r="F71" s="9">
        <f>W19</f>
        <v>-393863.07000000007</v>
      </c>
    </row>
    <row r="72" spans="1:6" ht="15.7" customHeight="1" thickTop="1" thickBot="1">
      <c r="A72" s="14" t="s">
        <v>74</v>
      </c>
      <c r="B72" s="9">
        <f>S17</f>
        <v>0</v>
      </c>
      <c r="C72" s="9">
        <f>T17</f>
        <v>1086379.95</v>
      </c>
      <c r="D72" s="9">
        <f>U17</f>
        <v>1179517.75</v>
      </c>
      <c r="E72" s="9">
        <f>V17</f>
        <v>1230883.05</v>
      </c>
      <c r="F72" s="9">
        <f>W17</f>
        <v>1463433.07</v>
      </c>
    </row>
    <row r="73" spans="1:6" ht="15.7" customHeight="1" thickTop="1" thickBot="1">
      <c r="A73" s="14" t="s">
        <v>45</v>
      </c>
      <c r="B73" s="9">
        <f>S27</f>
        <v>0</v>
      </c>
      <c r="C73" s="9">
        <f>T27</f>
        <v>1.1499999999930139</v>
      </c>
      <c r="D73" s="9">
        <f>U27</f>
        <v>2.0500000000093124</v>
      </c>
      <c r="E73" s="9">
        <f>V27</f>
        <v>1.7100000000325934</v>
      </c>
      <c r="F73" s="9">
        <f>W27</f>
        <v>2.3200000000279459</v>
      </c>
    </row>
    <row r="74" spans="1:6" ht="15.7" customHeight="1" thickTop="1" thickBot="1">
      <c r="A74" s="8"/>
      <c r="B74" s="8"/>
      <c r="C74" s="8"/>
      <c r="D74" s="8"/>
      <c r="E74" s="8"/>
      <c r="F74" s="8"/>
    </row>
    <row r="75" spans="1:6" ht="15.7" customHeight="1" thickTop="1" thickBot="1">
      <c r="A75" s="14" t="s">
        <v>47</v>
      </c>
      <c r="B75" s="9">
        <f>S28</f>
        <v>0</v>
      </c>
      <c r="C75" s="9">
        <f>T28</f>
        <v>25.78</v>
      </c>
      <c r="D75" s="9">
        <f>U28</f>
        <v>57.71</v>
      </c>
      <c r="E75" s="9">
        <f>V28</f>
        <v>67.7</v>
      </c>
      <c r="F75" s="9">
        <f>W28</f>
        <v>-91.04</v>
      </c>
    </row>
    <row r="76" spans="1:6" ht="15.7" customHeight="1" thickTop="1" thickBot="1">
      <c r="A76" s="14" t="s">
        <v>77</v>
      </c>
      <c r="B76" s="12" t="e">
        <f>S34</f>
        <v>#DIV/0!</v>
      </c>
      <c r="C76" s="12">
        <f>T34</f>
        <v>0.58727695888285492</v>
      </c>
      <c r="D76" s="12">
        <f>U34</f>
        <v>0.29542302357836336</v>
      </c>
      <c r="E76" s="12">
        <f>V34</f>
        <v>0.35446217494089843</v>
      </c>
      <c r="F76" s="12">
        <f>W34</f>
        <v>0.36055317747777416</v>
      </c>
    </row>
    <row r="77" spans="1:6" ht="15.7" customHeight="1" thickTop="1" thickBot="1">
      <c r="A77" s="14" t="s">
        <v>78</v>
      </c>
      <c r="B77" s="16" t="e">
        <f>B75*(1-B76)</f>
        <v>#DIV/0!</v>
      </c>
      <c r="C77" s="16">
        <f>C75*(1-C76)</f>
        <v>10.64</v>
      </c>
      <c r="D77" s="16">
        <f>D75*(1-D76)</f>
        <v>40.661137309292648</v>
      </c>
      <c r="E77" s="16">
        <f>E75*(1-E76)</f>
        <v>43.702910756501176</v>
      </c>
      <c r="F77" s="16">
        <f>F75*(1-F76)</f>
        <v>-58.215238722423443</v>
      </c>
    </row>
    <row r="78" spans="1:6" ht="15.7" customHeight="1" thickTop="1" thickBot="1">
      <c r="A78" s="14" t="s">
        <v>45</v>
      </c>
      <c r="B78" s="16">
        <f>S27</f>
        <v>0</v>
      </c>
      <c r="C78" s="16">
        <f>T27</f>
        <v>1.1499999999930139</v>
      </c>
      <c r="D78" s="16">
        <f>U27</f>
        <v>2.0500000000093124</v>
      </c>
      <c r="E78" s="16">
        <f>V27</f>
        <v>1.7100000000325934</v>
      </c>
      <c r="F78" s="16">
        <f>W27</f>
        <v>2.3200000000279459</v>
      </c>
    </row>
    <row r="79" spans="1:6" ht="15.7" customHeight="1" thickTop="1" thickBot="1">
      <c r="A79" s="14" t="s">
        <v>80</v>
      </c>
      <c r="B79" s="16" t="e">
        <f>B77+B78</f>
        <v>#DIV/0!</v>
      </c>
      <c r="C79" s="16">
        <f>C77+C78</f>
        <v>11.789999999993015</v>
      </c>
      <c r="D79" s="16">
        <f>D77+D78</f>
        <v>42.711137309301961</v>
      </c>
      <c r="E79" s="16">
        <f>E77+E78</f>
        <v>45.412910756533769</v>
      </c>
      <c r="F79" s="16">
        <f>F77+F78</f>
        <v>-55.895238722395497</v>
      </c>
    </row>
    <row r="80" spans="1:6" ht="15.7" customHeight="1" thickTop="1" thickBot="1">
      <c r="A80" s="8"/>
      <c r="B80" s="8"/>
      <c r="C80" s="8"/>
      <c r="D80" s="8"/>
      <c r="E80" s="8"/>
      <c r="F80" s="8"/>
    </row>
    <row r="81" spans="1:6" ht="15.7" customHeight="1" thickTop="1" thickBot="1">
      <c r="A81" s="8"/>
      <c r="B81" s="8"/>
      <c r="C81" s="8"/>
      <c r="D81" s="8"/>
      <c r="E81" s="8"/>
      <c r="F81" s="8"/>
    </row>
    <row r="82" spans="1:6" ht="15.7" customHeight="1" thickTop="1" thickBot="1">
      <c r="A82" s="14" t="s">
        <v>84</v>
      </c>
      <c r="B82" s="8">
        <f t="shared" ref="B82:F83" si="25">AD44</f>
        <v>0</v>
      </c>
      <c r="C82" s="8">
        <f t="shared" si="25"/>
        <v>632117.13</v>
      </c>
      <c r="D82" s="8">
        <f t="shared" si="25"/>
        <v>170997.71999999997</v>
      </c>
      <c r="E82" s="8">
        <f t="shared" si="25"/>
        <v>9049.4300000000512</v>
      </c>
      <c r="F82" s="8">
        <f t="shared" si="25"/>
        <v>108706.01000000001</v>
      </c>
    </row>
    <row r="83" spans="1:6" ht="15.7" customHeight="1" thickTop="1" thickBot="1">
      <c r="A83" s="14" t="s">
        <v>85</v>
      </c>
      <c r="B83" s="8">
        <f t="shared" si="25"/>
        <v>0</v>
      </c>
      <c r="C83" s="8">
        <f t="shared" si="25"/>
        <v>117900</v>
      </c>
      <c r="D83" s="8">
        <f t="shared" si="25"/>
        <v>-490</v>
      </c>
      <c r="E83" s="8">
        <f t="shared" si="25"/>
        <v>-1410</v>
      </c>
      <c r="F83" s="8">
        <f t="shared" si="25"/>
        <v>500</v>
      </c>
    </row>
    <row r="84" spans="1:6" ht="15.7" customHeight="1" thickTop="1" thickBot="1">
      <c r="A84" s="8"/>
      <c r="B84" s="8"/>
      <c r="C84" s="8"/>
      <c r="D84" s="8"/>
      <c r="E84" s="8"/>
      <c r="F84" s="8"/>
    </row>
    <row r="85" spans="1:6" ht="15.7" customHeight="1" thickTop="1" thickBot="1">
      <c r="A85" s="17" t="s">
        <v>68</v>
      </c>
      <c r="B85" s="6"/>
      <c r="C85" s="18">
        <f t="shared" ref="C85:F85" si="26">C79-SUM(C82:C83)</f>
        <v>-750005.34</v>
      </c>
      <c r="D85" s="18">
        <f t="shared" si="26"/>
        <v>-170465.00886269068</v>
      </c>
      <c r="E85" s="18">
        <f t="shared" si="26"/>
        <v>-7594.0170892435171</v>
      </c>
      <c r="F85" s="18">
        <f t="shared" si="26"/>
        <v>-109261.90523872241</v>
      </c>
    </row>
    <row r="86" spans="1:6" ht="15.7" customHeight="1" thickTop="1"/>
    <row r="142" spans="4:9" ht="15.7" customHeight="1" thickBot="1"/>
    <row r="143" spans="4:9" ht="15.7" customHeight="1" thickTop="1" thickBot="1">
      <c r="D143" s="8"/>
      <c r="E143" s="7">
        <v>15</v>
      </c>
      <c r="F143" s="7">
        <v>16</v>
      </c>
      <c r="G143" s="7">
        <v>17</v>
      </c>
      <c r="H143" s="7">
        <v>18</v>
      </c>
      <c r="I143" s="7">
        <v>19</v>
      </c>
    </row>
    <row r="144" spans="4:9" ht="15.7" customHeight="1" thickTop="1" thickBot="1">
      <c r="D144" s="8"/>
      <c r="E144" s="531" t="s">
        <v>69</v>
      </c>
      <c r="F144" s="529"/>
      <c r="G144" s="529"/>
      <c r="H144" s="529"/>
      <c r="I144" s="530"/>
    </row>
    <row r="145" spans="4:9" ht="15.7" customHeight="1" thickTop="1" thickBot="1">
      <c r="D145" s="26" t="s">
        <v>71</v>
      </c>
      <c r="E145" s="8"/>
      <c r="F145" s="8"/>
      <c r="G145" s="8"/>
      <c r="H145" s="8"/>
      <c r="I145" s="8"/>
    </row>
    <row r="146" spans="4:9" ht="15.7" customHeight="1" thickTop="1" thickBot="1">
      <c r="D146" s="26" t="s">
        <v>73</v>
      </c>
      <c r="E146" s="9">
        <f>B10</f>
        <v>0</v>
      </c>
      <c r="F146" s="9">
        <f>C10</f>
        <v>1086460</v>
      </c>
      <c r="G146" s="9">
        <f>D10</f>
        <v>1179660</v>
      </c>
      <c r="H146" s="9">
        <f>E10</f>
        <v>1231040</v>
      </c>
      <c r="I146" s="9">
        <f>F10</f>
        <v>1464630</v>
      </c>
    </row>
    <row r="147" spans="4:9" ht="15.7" customHeight="1" thickTop="1" thickBot="1">
      <c r="D147" s="26" t="s">
        <v>47</v>
      </c>
      <c r="E147" s="9">
        <f>S28</f>
        <v>0</v>
      </c>
      <c r="F147" s="9">
        <f>T28</f>
        <v>25.78</v>
      </c>
      <c r="G147" s="9">
        <f>U28</f>
        <v>57.71</v>
      </c>
      <c r="H147" s="9">
        <f>V28</f>
        <v>67.7</v>
      </c>
      <c r="I147" s="9">
        <f>W28</f>
        <v>-91.04</v>
      </c>
    </row>
    <row r="148" spans="4:9" ht="15.7" customHeight="1" thickTop="1" thickBot="1">
      <c r="D148" s="26" t="s">
        <v>75</v>
      </c>
      <c r="E148" s="9">
        <f>S35</f>
        <v>0</v>
      </c>
      <c r="F148" s="9">
        <f>T35</f>
        <v>10.64</v>
      </c>
      <c r="G148" s="9">
        <f>U35</f>
        <v>40.64</v>
      </c>
      <c r="H148" s="9">
        <f>V35</f>
        <v>43.69</v>
      </c>
      <c r="I148" s="9">
        <f>W35</f>
        <v>-58.26</v>
      </c>
    </row>
    <row r="149" spans="4:9" ht="15.7" customHeight="1" thickTop="1" thickBot="1">
      <c r="D149" s="26" t="s">
        <v>17</v>
      </c>
      <c r="E149" s="9">
        <f>B26</f>
        <v>0</v>
      </c>
      <c r="F149" s="9">
        <f>C26</f>
        <v>206.26</v>
      </c>
      <c r="G149" s="9">
        <f>D26</f>
        <v>270.11</v>
      </c>
      <c r="H149" s="9">
        <f>E26</f>
        <v>787.58</v>
      </c>
      <c r="I149" s="9">
        <f>F26</f>
        <v>770.83</v>
      </c>
    </row>
    <row r="150" spans="4:9" ht="15.7" customHeight="1" thickTop="1" thickBot="1">
      <c r="D150" s="26" t="s">
        <v>76</v>
      </c>
      <c r="E150" s="9">
        <f>B17</f>
        <v>0</v>
      </c>
      <c r="F150" s="9">
        <f>C17</f>
        <v>10</v>
      </c>
      <c r="G150" s="9">
        <f>D17</f>
        <v>10</v>
      </c>
      <c r="H150" s="9">
        <f>E17</f>
        <v>10</v>
      </c>
      <c r="I150" s="9">
        <f>F17</f>
        <v>10</v>
      </c>
    </row>
    <row r="151" spans="4:9" ht="15.7" customHeight="1" thickTop="1" thickBot="1">
      <c r="D151" s="8"/>
      <c r="E151" s="8"/>
      <c r="F151" s="8"/>
      <c r="G151" s="8"/>
      <c r="H151" s="8"/>
      <c r="I151" s="8"/>
    </row>
    <row r="152" spans="4:9" ht="15.7" customHeight="1" thickTop="1" thickBot="1">
      <c r="D152" s="8"/>
      <c r="E152" s="8"/>
      <c r="F152" s="8"/>
      <c r="G152" s="8"/>
      <c r="H152" s="8"/>
      <c r="I152" s="8"/>
    </row>
    <row r="153" spans="4:9" ht="15.7" customHeight="1" thickTop="1" thickBot="1">
      <c r="D153" s="26" t="s">
        <v>79</v>
      </c>
      <c r="E153" s="12" t="e">
        <f t="shared" ref="E153:I153" si="27">E148/E150</f>
        <v>#DIV/0!</v>
      </c>
      <c r="F153" s="12">
        <f t="shared" si="27"/>
        <v>1.0640000000000001</v>
      </c>
      <c r="G153" s="12">
        <f t="shared" si="27"/>
        <v>4.0640000000000001</v>
      </c>
      <c r="H153" s="12">
        <f t="shared" si="27"/>
        <v>4.3689999999999998</v>
      </c>
      <c r="I153" s="12">
        <f t="shared" si="27"/>
        <v>-5.8259999999999996</v>
      </c>
    </row>
    <row r="154" spans="4:9" ht="15.7" customHeight="1" thickTop="1" thickBot="1">
      <c r="D154" s="26" t="s">
        <v>81</v>
      </c>
      <c r="E154" s="12" t="e">
        <f t="shared" ref="E154:I154" si="28">E148/E146</f>
        <v>#DIV/0!</v>
      </c>
      <c r="F154" s="12">
        <f t="shared" si="28"/>
        <v>9.7932735673655729E-6</v>
      </c>
      <c r="G154" s="12">
        <f t="shared" si="28"/>
        <v>3.4450604411440585E-5</v>
      </c>
      <c r="H154" s="12">
        <f t="shared" si="28"/>
        <v>3.5490317130231344E-5</v>
      </c>
      <c r="I154" s="12">
        <f t="shared" si="28"/>
        <v>-3.9777964400565329E-5</v>
      </c>
    </row>
    <row r="155" spans="4:9" ht="15.7" customHeight="1" thickTop="1" thickBot="1">
      <c r="D155" s="26" t="s">
        <v>82</v>
      </c>
      <c r="E155" s="12" t="e">
        <f t="shared" ref="E155:I155" si="29">E146/E149</f>
        <v>#DIV/0!</v>
      </c>
      <c r="F155" s="12">
        <f t="shared" si="29"/>
        <v>5267.4294579656744</v>
      </c>
      <c r="G155" s="12">
        <f t="shared" si="29"/>
        <v>4367.3318277738699</v>
      </c>
      <c r="H155" s="12">
        <f t="shared" si="29"/>
        <v>1563.0666091063765</v>
      </c>
      <c r="I155" s="12">
        <f t="shared" si="29"/>
        <v>1900.0687570540845</v>
      </c>
    </row>
    <row r="156" spans="4:9" ht="15.7" customHeight="1" thickTop="1" thickBot="1">
      <c r="D156" s="26" t="s">
        <v>83</v>
      </c>
      <c r="E156" s="12" t="e">
        <f t="shared" ref="E156:I156" si="30">E149/E150</f>
        <v>#DIV/0!</v>
      </c>
      <c r="F156" s="12">
        <f t="shared" si="30"/>
        <v>20.625999999999998</v>
      </c>
      <c r="G156" s="12">
        <f t="shared" si="30"/>
        <v>27.011000000000003</v>
      </c>
      <c r="H156" s="12">
        <f t="shared" si="30"/>
        <v>78.75800000000001</v>
      </c>
      <c r="I156" s="12">
        <f t="shared" si="30"/>
        <v>77.082999999999998</v>
      </c>
    </row>
    <row r="157" spans="4:9" ht="15.7" customHeight="1" thickTop="1" thickBot="1">
      <c r="D157" s="26" t="s">
        <v>79</v>
      </c>
      <c r="E157" s="12" t="e">
        <f t="shared" ref="E157:I157" si="31">E154*E155*E156</f>
        <v>#DIV/0!</v>
      </c>
      <c r="F157" s="12">
        <f t="shared" si="31"/>
        <v>1.0639999999999998</v>
      </c>
      <c r="G157" s="12">
        <f t="shared" si="31"/>
        <v>4.0640000000000009</v>
      </c>
      <c r="H157" s="12">
        <f t="shared" si="31"/>
        <v>4.3689999999999998</v>
      </c>
      <c r="I157" s="12">
        <f t="shared" si="31"/>
        <v>-5.8259999999999996</v>
      </c>
    </row>
    <row r="158" spans="4:9" ht="15.7" customHeight="1" thickTop="1"/>
  </sheetData>
  <mergeCells count="4">
    <mergeCell ref="P14:W14"/>
    <mergeCell ref="AA14:AH14"/>
    <mergeCell ref="B69:F69"/>
    <mergeCell ref="E144:I14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51E5-EF97-4765-B328-82AFAF67B8AC}">
  <dimension ref="A1:R169"/>
  <sheetViews>
    <sheetView zoomScale="40" zoomScaleNormal="40" workbookViewId="0">
      <selection activeCell="H3" sqref="H3"/>
    </sheetView>
  </sheetViews>
  <sheetFormatPr defaultRowHeight="12.7"/>
  <cols>
    <col min="5" max="5" width="14.21875" customWidth="1"/>
    <col min="6" max="6" width="15.109375" customWidth="1"/>
    <col min="7" max="7" width="13.88671875" customWidth="1"/>
    <col min="8" max="8" width="13.33203125" customWidth="1"/>
    <col min="9" max="9" width="12.5546875" customWidth="1"/>
    <col min="10" max="10" width="11.44140625" customWidth="1"/>
    <col min="11" max="11" width="12.5546875" customWidth="1"/>
    <col min="12" max="12" width="11.21875" customWidth="1"/>
    <col min="13" max="13" width="14" customWidth="1"/>
    <col min="14" max="14" width="11" customWidth="1"/>
    <col min="15" max="15" width="11.44140625" customWidth="1"/>
  </cols>
  <sheetData>
    <row r="1" spans="1:18" ht="13.85">
      <c r="A1" s="317" t="s">
        <v>165</v>
      </c>
      <c r="B1" s="318"/>
      <c r="C1" s="318"/>
      <c r="D1" s="319"/>
      <c r="E1" s="314" t="s">
        <v>166</v>
      </c>
      <c r="F1" s="314" t="s">
        <v>167</v>
      </c>
      <c r="G1" s="314" t="s">
        <v>168</v>
      </c>
      <c r="H1" s="314" t="s">
        <v>169</v>
      </c>
      <c r="I1" s="314" t="s">
        <v>170</v>
      </c>
      <c r="J1" s="315" t="s">
        <v>171</v>
      </c>
      <c r="K1" s="314" t="s">
        <v>172</v>
      </c>
      <c r="L1" s="314" t="s">
        <v>173</v>
      </c>
      <c r="M1" s="314" t="s">
        <v>174</v>
      </c>
      <c r="N1" s="314" t="s">
        <v>175</v>
      </c>
      <c r="O1" s="314" t="s">
        <v>176</v>
      </c>
      <c r="P1" s="314" t="s">
        <v>177</v>
      </c>
      <c r="Q1" s="316" t="s">
        <v>178</v>
      </c>
      <c r="R1" s="111"/>
    </row>
    <row r="2" spans="1:18" ht="13.85">
      <c r="A2" s="195"/>
      <c r="B2" s="187"/>
      <c r="C2" s="187"/>
      <c r="D2" s="187"/>
      <c r="E2" s="196" t="s">
        <v>179</v>
      </c>
      <c r="F2" s="196" t="s">
        <v>180</v>
      </c>
      <c r="G2" s="196" t="s">
        <v>181</v>
      </c>
      <c r="H2" s="196" t="s">
        <v>182</v>
      </c>
      <c r="I2" s="196" t="s">
        <v>183</v>
      </c>
      <c r="J2" s="196" t="s">
        <v>184</v>
      </c>
      <c r="K2" s="114" t="s">
        <v>185</v>
      </c>
      <c r="L2" s="197" t="s">
        <v>186</v>
      </c>
      <c r="M2" s="197" t="s">
        <v>187</v>
      </c>
      <c r="N2" s="197" t="s">
        <v>188</v>
      </c>
      <c r="O2" s="197" t="s">
        <v>189</v>
      </c>
      <c r="P2" s="197" t="s">
        <v>190</v>
      </c>
      <c r="Q2" s="198"/>
      <c r="R2" s="111"/>
    </row>
    <row r="3" spans="1:18" ht="13.85">
      <c r="A3" s="195"/>
      <c r="B3" s="199"/>
      <c r="C3" s="187"/>
      <c r="D3" s="187"/>
      <c r="E3" s="187"/>
      <c r="F3" s="199"/>
      <c r="G3" s="187"/>
      <c r="H3" s="187"/>
      <c r="I3" s="187"/>
      <c r="J3" s="199"/>
      <c r="K3" s="200">
        <v>1</v>
      </c>
      <c r="L3" s="201">
        <v>2</v>
      </c>
      <c r="M3" s="201">
        <v>3</v>
      </c>
      <c r="N3" s="201">
        <v>4</v>
      </c>
      <c r="O3" s="200">
        <v>5</v>
      </c>
      <c r="P3" s="187"/>
      <c r="Q3" s="198"/>
      <c r="R3" s="111"/>
    </row>
    <row r="4" spans="1:18">
      <c r="A4" s="202" t="s">
        <v>191</v>
      </c>
      <c r="B4" s="202"/>
      <c r="C4" s="203"/>
      <c r="D4" s="204"/>
      <c r="E4" s="188">
        <v>1179660</v>
      </c>
      <c r="F4" s="188">
        <v>1231040</v>
      </c>
      <c r="G4" s="188">
        <v>1464630</v>
      </c>
      <c r="H4" s="188">
        <v>1569490</v>
      </c>
      <c r="I4" s="188">
        <v>1641770</v>
      </c>
      <c r="J4" s="188">
        <v>1917540</v>
      </c>
      <c r="K4" s="345">
        <v>2189777.041666667</v>
      </c>
      <c r="L4" s="345">
        <v>2447465.4583333335</v>
      </c>
      <c r="M4" s="345">
        <v>2724086.4117647065</v>
      </c>
      <c r="N4" s="345">
        <v>2922350.3333333335</v>
      </c>
      <c r="O4" s="344">
        <v>3422212</v>
      </c>
      <c r="P4" s="344">
        <v>0</v>
      </c>
      <c r="Q4" s="205"/>
      <c r="R4" s="206"/>
    </row>
    <row r="5" spans="1:18">
      <c r="A5" s="202" t="s">
        <v>192</v>
      </c>
      <c r="B5" s="202"/>
      <c r="C5" s="202"/>
      <c r="D5" s="204"/>
      <c r="E5" s="188">
        <v>1179660</v>
      </c>
      <c r="F5" s="188">
        <v>1231040</v>
      </c>
      <c r="G5" s="188">
        <v>1464630</v>
      </c>
      <c r="H5" s="188">
        <v>1569490</v>
      </c>
      <c r="I5" s="188">
        <v>1641770</v>
      </c>
      <c r="J5" s="188">
        <v>1917540</v>
      </c>
      <c r="K5" s="188"/>
      <c r="L5" s="188"/>
      <c r="M5" s="188"/>
      <c r="N5" s="188"/>
      <c r="O5" s="188"/>
      <c r="P5" s="188"/>
      <c r="Q5" s="205"/>
      <c r="R5" s="328"/>
    </row>
    <row r="6" spans="1:18" ht="14.4" thickBot="1">
      <c r="A6" s="320" t="s">
        <v>193</v>
      </c>
      <c r="B6" s="191"/>
      <c r="C6" s="187"/>
      <c r="D6" s="313" t="s">
        <v>194</v>
      </c>
      <c r="E6" s="208"/>
      <c r="F6" s="209"/>
      <c r="G6" s="209">
        <v>0.18975012997140639</v>
      </c>
      <c r="H6" s="209">
        <v>7.1594873790650215E-2</v>
      </c>
      <c r="I6" s="209">
        <v>4.6053176509566862E-2</v>
      </c>
      <c r="J6" s="209">
        <v>0.1679711530847805</v>
      </c>
      <c r="K6" s="209">
        <v>0.14197202752832649</v>
      </c>
      <c r="L6" s="209">
        <v>0.11767792417374912</v>
      </c>
      <c r="M6" s="209">
        <v>0.11302343511713753</v>
      </c>
      <c r="N6" s="209">
        <v>7.2781803364375897E-2</v>
      </c>
      <c r="O6" s="209">
        <v>0.17104782440526467</v>
      </c>
      <c r="P6" s="209">
        <v>-1</v>
      </c>
      <c r="Q6" s="210"/>
      <c r="R6" s="111"/>
    </row>
    <row r="7" spans="1:18">
      <c r="A7" s="117"/>
      <c r="B7" s="118"/>
      <c r="C7" s="117"/>
      <c r="D7" s="312"/>
      <c r="E7" s="208"/>
      <c r="F7" s="208"/>
      <c r="G7" s="208"/>
      <c r="H7" s="208"/>
      <c r="I7" s="208"/>
      <c r="J7" s="208"/>
      <c r="K7" s="212"/>
      <c r="L7" s="212"/>
      <c r="M7" s="212"/>
      <c r="N7" s="212"/>
      <c r="O7" s="212"/>
      <c r="P7" s="212"/>
      <c r="Q7" s="210"/>
      <c r="R7" s="190"/>
    </row>
    <row r="8" spans="1:18">
      <c r="A8" s="117"/>
      <c r="B8" s="118"/>
      <c r="C8" s="171"/>
      <c r="D8" s="172"/>
      <c r="E8" s="338"/>
      <c r="F8" s="173"/>
      <c r="G8" s="173"/>
      <c r="H8" s="173"/>
      <c r="I8" s="180"/>
      <c r="J8" s="181" t="s">
        <v>195</v>
      </c>
      <c r="K8" s="182">
        <v>1</v>
      </c>
      <c r="L8" s="182">
        <v>1</v>
      </c>
      <c r="M8" s="182">
        <v>1</v>
      </c>
      <c r="N8" s="182">
        <v>1</v>
      </c>
      <c r="O8" s="182">
        <v>1</v>
      </c>
      <c r="P8" s="182">
        <v>1</v>
      </c>
      <c r="Q8" s="174"/>
      <c r="R8" s="187"/>
    </row>
    <row r="9" spans="1:18">
      <c r="A9" s="117"/>
      <c r="B9" s="118"/>
      <c r="C9" s="175"/>
      <c r="D9" s="176"/>
      <c r="E9" s="339"/>
      <c r="F9" s="176"/>
      <c r="G9" s="176"/>
      <c r="H9" s="176"/>
      <c r="I9" s="176"/>
      <c r="J9" s="176"/>
      <c r="K9" s="327" t="s">
        <v>196</v>
      </c>
      <c r="L9" s="176"/>
      <c r="M9" s="176"/>
      <c r="N9" s="176"/>
      <c r="O9" s="176"/>
      <c r="P9" s="176"/>
      <c r="Q9" s="168"/>
      <c r="R9" s="187"/>
    </row>
    <row r="10" spans="1:18">
      <c r="A10" s="117"/>
      <c r="B10" s="118"/>
      <c r="C10" s="175"/>
      <c r="D10" s="119" t="s">
        <v>197</v>
      </c>
      <c r="E10" s="340"/>
      <c r="F10" s="187"/>
      <c r="G10" s="112"/>
      <c r="H10" s="187"/>
      <c r="I10" s="120"/>
      <c r="J10" s="120"/>
      <c r="K10" s="343">
        <v>0.14197202752832649</v>
      </c>
      <c r="L10" s="343">
        <v>0.11767792417374912</v>
      </c>
      <c r="M10" s="343">
        <v>0.11302343511713753</v>
      </c>
      <c r="N10" s="343">
        <v>7.2781803364375897E-2</v>
      </c>
      <c r="O10" s="343">
        <v>0.17104782440526467</v>
      </c>
      <c r="P10" s="343">
        <v>-1</v>
      </c>
      <c r="Q10" s="168"/>
      <c r="R10" s="187"/>
    </row>
    <row r="11" spans="1:18">
      <c r="A11" s="117"/>
      <c r="B11" s="118"/>
      <c r="C11" s="170"/>
      <c r="D11" s="121" t="s">
        <v>198</v>
      </c>
      <c r="E11" s="341"/>
      <c r="F11" s="122"/>
      <c r="G11" s="122"/>
      <c r="H11" s="122"/>
      <c r="I11" s="122"/>
      <c r="J11" s="122"/>
      <c r="K11" s="123">
        <v>8.4139389369100634E-2</v>
      </c>
      <c r="L11" s="123">
        <v>9.2876079063175021E-2</v>
      </c>
      <c r="M11" s="123">
        <v>9.6076744291136634E-2</v>
      </c>
      <c r="N11" s="123">
        <v>0.11067738249666209</v>
      </c>
      <c r="O11" s="123">
        <v>0.11679088529886358</v>
      </c>
      <c r="P11" s="123">
        <v>9.7696722193322885E-2</v>
      </c>
      <c r="Q11" s="168"/>
      <c r="R11" s="187"/>
    </row>
    <row r="12" spans="1:18">
      <c r="A12" s="117"/>
      <c r="B12" s="118"/>
      <c r="C12" s="170"/>
      <c r="D12" s="124" t="s">
        <v>199</v>
      </c>
      <c r="E12" s="342"/>
      <c r="F12" s="125"/>
      <c r="G12" s="125"/>
      <c r="H12" s="125"/>
      <c r="I12" s="125"/>
      <c r="J12" s="125"/>
      <c r="K12" s="126">
        <v>0.14507</v>
      </c>
      <c r="L12" s="126">
        <v>0.14507</v>
      </c>
      <c r="M12" s="126">
        <v>0.14507</v>
      </c>
      <c r="N12" s="126">
        <v>0.14507</v>
      </c>
      <c r="O12" s="126">
        <v>0.14507</v>
      </c>
      <c r="P12" s="126">
        <v>0.14507</v>
      </c>
      <c r="Q12" s="168"/>
      <c r="R12" s="187"/>
    </row>
    <row r="13" spans="1:18">
      <c r="A13" s="117"/>
      <c r="B13" s="118"/>
      <c r="C13" s="170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68"/>
      <c r="R13" s="187"/>
    </row>
    <row r="14" spans="1:18">
      <c r="A14" s="117"/>
      <c r="B14" s="118"/>
      <c r="C14" s="170"/>
      <c r="D14" s="119" t="s">
        <v>200</v>
      </c>
      <c r="E14" s="120"/>
      <c r="F14" s="120"/>
      <c r="G14" s="120"/>
      <c r="H14" s="120"/>
      <c r="I14" s="127"/>
      <c r="J14" s="120"/>
      <c r="K14" s="331">
        <v>0</v>
      </c>
      <c r="L14" s="331">
        <v>0</v>
      </c>
      <c r="M14" s="331">
        <v>0</v>
      </c>
      <c r="N14" s="331">
        <v>0</v>
      </c>
      <c r="O14" s="331">
        <v>0</v>
      </c>
      <c r="P14" s="331" t="s">
        <v>201</v>
      </c>
      <c r="Q14" s="168"/>
      <c r="R14" s="187"/>
    </row>
    <row r="15" spans="1:18" ht="13.25" thickBot="1">
      <c r="A15" s="183" t="s">
        <v>202</v>
      </c>
      <c r="B15" s="118"/>
      <c r="C15" s="170"/>
      <c r="D15" s="124" t="s">
        <v>203</v>
      </c>
      <c r="E15" s="125"/>
      <c r="F15" s="125"/>
      <c r="G15" s="125"/>
      <c r="H15" s="125"/>
      <c r="I15" s="128"/>
      <c r="J15" s="125"/>
      <c r="K15" s="186">
        <v>0</v>
      </c>
      <c r="L15" s="186">
        <v>0</v>
      </c>
      <c r="M15" s="186">
        <v>0</v>
      </c>
      <c r="N15" s="186">
        <v>0</v>
      </c>
      <c r="O15" s="186">
        <v>0</v>
      </c>
      <c r="P15" s="186">
        <v>0</v>
      </c>
      <c r="Q15" s="168"/>
      <c r="R15" s="187"/>
    </row>
    <row r="16" spans="1:18">
      <c r="A16" s="117"/>
      <c r="B16" s="118"/>
      <c r="C16" s="170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68"/>
      <c r="R16" s="187"/>
    </row>
    <row r="17" spans="1:18">
      <c r="A17" s="117"/>
      <c r="B17" s="118"/>
      <c r="C17" s="170"/>
      <c r="D17" s="154"/>
      <c r="E17" s="154"/>
      <c r="F17" s="154"/>
      <c r="G17" s="154"/>
      <c r="H17" s="156" t="s">
        <v>204</v>
      </c>
      <c r="I17" s="157" t="s">
        <v>205</v>
      </c>
      <c r="J17" s="157" t="s">
        <v>206</v>
      </c>
      <c r="K17" s="213"/>
      <c r="L17" s="213"/>
      <c r="M17" s="213"/>
      <c r="N17" s="213"/>
      <c r="O17" s="213"/>
      <c r="P17" s="213"/>
      <c r="Q17" s="168"/>
      <c r="R17" s="187"/>
    </row>
    <row r="18" spans="1:18">
      <c r="A18" s="117"/>
      <c r="B18" s="118"/>
      <c r="C18" s="170"/>
      <c r="D18" s="124" t="s">
        <v>207</v>
      </c>
      <c r="E18" s="125"/>
      <c r="F18" s="125"/>
      <c r="G18" s="125"/>
      <c r="H18" s="125"/>
      <c r="I18" s="160">
        <v>0</v>
      </c>
      <c r="J18" s="184">
        <v>0.15</v>
      </c>
      <c r="K18" s="131">
        <v>0.14197202752832649</v>
      </c>
      <c r="L18" s="138">
        <v>0.11767792417374912</v>
      </c>
      <c r="M18" s="138">
        <v>0.11302343511713753</v>
      </c>
      <c r="N18" s="138">
        <v>7.2781803364375897E-2</v>
      </c>
      <c r="O18" s="348">
        <v>0.17104782440526467</v>
      </c>
      <c r="P18" s="348">
        <v>-1</v>
      </c>
      <c r="Q18" s="168"/>
      <c r="R18" s="187"/>
    </row>
    <row r="19" spans="1:18">
      <c r="A19" s="117"/>
      <c r="B19" s="118"/>
      <c r="C19" s="170"/>
      <c r="D19" s="124" t="s">
        <v>208</v>
      </c>
      <c r="E19" s="125"/>
      <c r="F19" s="125"/>
      <c r="G19" s="125"/>
      <c r="H19" s="125"/>
      <c r="I19" s="185">
        <v>3</v>
      </c>
      <c r="J19" s="149"/>
      <c r="K19" s="129">
        <v>48</v>
      </c>
      <c r="L19" s="129">
        <v>48</v>
      </c>
      <c r="M19" s="129">
        <v>17</v>
      </c>
      <c r="N19" s="129">
        <v>3</v>
      </c>
      <c r="O19" s="336">
        <v>2</v>
      </c>
      <c r="P19" s="336">
        <v>0</v>
      </c>
      <c r="Q19" s="168"/>
      <c r="R19" s="187"/>
    </row>
    <row r="20" spans="1:18">
      <c r="A20" s="117"/>
      <c r="B20" s="118"/>
      <c r="C20" s="170"/>
      <c r="D20" s="124" t="s">
        <v>209</v>
      </c>
      <c r="E20" s="125"/>
      <c r="F20" s="125"/>
      <c r="G20" s="125"/>
      <c r="H20" s="125"/>
      <c r="I20" s="185">
        <v>3</v>
      </c>
      <c r="J20" s="149"/>
      <c r="K20" s="129">
        <v>3</v>
      </c>
      <c r="L20" s="332">
        <v>3</v>
      </c>
      <c r="M20" s="332">
        <v>3</v>
      </c>
      <c r="N20" s="332">
        <v>3</v>
      </c>
      <c r="O20" s="332">
        <v>3</v>
      </c>
      <c r="P20" s="332">
        <v>3</v>
      </c>
      <c r="Q20" s="168"/>
      <c r="R20" s="187"/>
    </row>
    <row r="21" spans="1:18" ht="13.25" thickBot="1">
      <c r="A21" s="117"/>
      <c r="B21" s="118"/>
      <c r="C21" s="177"/>
      <c r="D21" s="178"/>
      <c r="E21" s="167"/>
      <c r="F21" s="167"/>
      <c r="G21" s="167"/>
      <c r="H21" s="167"/>
      <c r="I21" s="167"/>
      <c r="J21" s="214"/>
      <c r="K21" s="215"/>
      <c r="L21" s="216"/>
      <c r="M21" s="216"/>
      <c r="N21" s="216"/>
      <c r="O21" s="216"/>
      <c r="P21" s="216"/>
      <c r="Q21" s="169"/>
      <c r="R21" s="187"/>
    </row>
    <row r="22" spans="1:18">
      <c r="A22" s="117"/>
      <c r="B22" s="118"/>
      <c r="C22" s="130"/>
      <c r="D22" s="130"/>
      <c r="E22" s="117"/>
      <c r="F22" s="117"/>
      <c r="G22" s="117"/>
      <c r="H22" s="117"/>
      <c r="I22" s="117"/>
      <c r="J22" s="217"/>
      <c r="K22" s="218"/>
      <c r="L22" s="219"/>
      <c r="M22" s="219"/>
      <c r="N22" s="219"/>
      <c r="O22" s="219"/>
      <c r="P22" s="219"/>
      <c r="Q22" s="117"/>
      <c r="R22" s="191"/>
    </row>
    <row r="23" spans="1:18">
      <c r="A23" s="191" t="s">
        <v>210</v>
      </c>
      <c r="B23" s="191"/>
      <c r="C23" s="191"/>
      <c r="D23" s="191"/>
      <c r="E23" s="220">
        <v>668870</v>
      </c>
      <c r="F23" s="220">
        <v>712880</v>
      </c>
      <c r="G23" s="220">
        <v>851580</v>
      </c>
      <c r="H23" s="220">
        <v>923220</v>
      </c>
      <c r="I23" s="220">
        <v>971380</v>
      </c>
      <c r="J23" s="220">
        <v>1146210</v>
      </c>
      <c r="K23" s="220">
        <v>1269524.330003628</v>
      </c>
      <c r="L23" s="220">
        <v>1419537.517023223</v>
      </c>
      <c r="M23" s="220">
        <v>1597375.3544857213</v>
      </c>
      <c r="N23" s="220">
        <v>1708113.7698333336</v>
      </c>
      <c r="O23" s="220">
        <v>1986594.0659999999</v>
      </c>
      <c r="P23" s="220">
        <v>0</v>
      </c>
      <c r="Q23" s="205"/>
      <c r="R23" s="328"/>
    </row>
    <row r="24" spans="1:18">
      <c r="A24" s="191" t="s">
        <v>211</v>
      </c>
      <c r="B24" s="191"/>
      <c r="C24" s="191"/>
      <c r="D24" s="191"/>
      <c r="E24" s="220">
        <v>668870</v>
      </c>
      <c r="F24" s="220">
        <v>712880</v>
      </c>
      <c r="G24" s="220">
        <v>851580</v>
      </c>
      <c r="H24" s="220"/>
      <c r="I24" s="220">
        <v>971380</v>
      </c>
      <c r="J24" s="220">
        <v>1146210</v>
      </c>
      <c r="K24" s="220"/>
      <c r="L24" s="220"/>
      <c r="M24" s="220"/>
      <c r="N24" s="220"/>
      <c r="O24" s="220"/>
      <c r="P24" s="220"/>
      <c r="Q24" s="205"/>
      <c r="R24" s="194"/>
    </row>
    <row r="25" spans="1:18">
      <c r="A25" s="320" t="s">
        <v>212</v>
      </c>
      <c r="B25" s="207"/>
      <c r="C25" s="112"/>
      <c r="D25" s="207"/>
      <c r="E25" s="221">
        <v>0.567002356611227</v>
      </c>
      <c r="F25" s="221">
        <v>0.57908760072783982</v>
      </c>
      <c r="G25" s="221">
        <v>0.5814301222834436</v>
      </c>
      <c r="H25" s="221">
        <v>0.5882292974150839</v>
      </c>
      <c r="I25" s="221">
        <v>0.59166631135908199</v>
      </c>
      <c r="J25" s="221">
        <v>0.59775024249820086</v>
      </c>
      <c r="K25" s="221">
        <v>0.57975049781204069</v>
      </c>
      <c r="L25" s="221">
        <v>0.58000308531009659</v>
      </c>
      <c r="M25" s="221">
        <v>0.58638938456101186</v>
      </c>
      <c r="N25" s="221">
        <v>0.58450000000000002</v>
      </c>
      <c r="O25" s="221">
        <v>0.58050000000000002</v>
      </c>
      <c r="P25" s="221" t="s">
        <v>213</v>
      </c>
      <c r="Q25" s="205"/>
      <c r="R25" s="328"/>
    </row>
    <row r="26" spans="1:18">
      <c r="A26" s="222" t="s">
        <v>214</v>
      </c>
      <c r="B26" s="222"/>
      <c r="C26" s="222"/>
      <c r="D26" s="222"/>
      <c r="E26" s="189">
        <v>510790</v>
      </c>
      <c r="F26" s="189">
        <v>518160.00000000006</v>
      </c>
      <c r="G26" s="189">
        <v>613050</v>
      </c>
      <c r="H26" s="189">
        <v>646270</v>
      </c>
      <c r="I26" s="189">
        <v>670390</v>
      </c>
      <c r="J26" s="189">
        <v>771330</v>
      </c>
      <c r="K26" s="189">
        <v>920252.71166303882</v>
      </c>
      <c r="L26" s="189">
        <v>1027927.9413101105</v>
      </c>
      <c r="M26" s="189">
        <v>1126711.0572789852</v>
      </c>
      <c r="N26" s="333">
        <v>1214236.5634999999</v>
      </c>
      <c r="O26" s="333">
        <v>1435617.9340000001</v>
      </c>
      <c r="P26" s="189">
        <v>0</v>
      </c>
      <c r="Q26" s="205"/>
      <c r="R26" s="329"/>
    </row>
    <row r="27" spans="1:18" ht="13.25" thickBot="1">
      <c r="A27" s="321" t="s">
        <v>215</v>
      </c>
      <c r="B27" s="224"/>
      <c r="C27" s="112"/>
      <c r="D27" s="313" t="s">
        <v>194</v>
      </c>
      <c r="E27" s="225">
        <v>0.43299764338877306</v>
      </c>
      <c r="F27" s="225">
        <v>0.42091239927216018</v>
      </c>
      <c r="G27" s="225">
        <v>0.4185698777165564</v>
      </c>
      <c r="H27" s="225">
        <v>0.4117707025849161</v>
      </c>
      <c r="I27" s="225">
        <v>0.40833368864091801</v>
      </c>
      <c r="J27" s="225">
        <v>0.4022497575017992</v>
      </c>
      <c r="K27" s="225">
        <v>0.4202495021879592</v>
      </c>
      <c r="L27" s="225">
        <v>0.41999691468990347</v>
      </c>
      <c r="M27" s="225">
        <v>0.41361061543898814</v>
      </c>
      <c r="N27" s="225">
        <v>0.41549999999999998</v>
      </c>
      <c r="O27" s="225">
        <v>0.41950000000000004</v>
      </c>
      <c r="P27" s="225">
        <v>0.41950000000000004</v>
      </c>
      <c r="Q27" s="205"/>
      <c r="R27" s="330"/>
    </row>
    <row r="28" spans="1:18">
      <c r="A28" s="224"/>
      <c r="B28" s="224"/>
      <c r="C28" s="224"/>
      <c r="D28" s="211"/>
      <c r="E28" s="225"/>
      <c r="F28" s="225"/>
      <c r="G28" s="225"/>
      <c r="H28" s="225"/>
      <c r="I28" s="225"/>
      <c r="J28" s="225"/>
      <c r="K28" s="225"/>
      <c r="L28" s="225"/>
      <c r="M28" s="225"/>
      <c r="N28" s="225"/>
      <c r="O28" s="225"/>
      <c r="P28" s="225"/>
      <c r="Q28" s="205"/>
      <c r="R28" s="226"/>
    </row>
    <row r="29" spans="1:18">
      <c r="A29" s="224"/>
      <c r="B29" s="224"/>
      <c r="C29" s="227"/>
      <c r="D29" s="228"/>
      <c r="E29" s="229"/>
      <c r="F29" s="229"/>
      <c r="G29" s="229"/>
      <c r="H29" s="229"/>
      <c r="I29" s="229"/>
      <c r="J29" s="229"/>
      <c r="K29" s="230">
        <v>1</v>
      </c>
      <c r="L29" s="230">
        <v>1</v>
      </c>
      <c r="M29" s="230">
        <v>1</v>
      </c>
      <c r="N29" s="230">
        <v>1</v>
      </c>
      <c r="O29" s="230">
        <v>1</v>
      </c>
      <c r="P29" s="230">
        <v>2</v>
      </c>
      <c r="Q29" s="231"/>
      <c r="R29" s="226"/>
    </row>
    <row r="30" spans="1:18">
      <c r="A30" s="224"/>
      <c r="B30" s="224"/>
      <c r="C30" s="232"/>
      <c r="D30" s="141"/>
      <c r="E30" s="141"/>
      <c r="F30" s="141"/>
      <c r="G30" s="141"/>
      <c r="H30" s="141"/>
      <c r="I30" s="141"/>
      <c r="J30" s="141"/>
      <c r="K30" s="142" t="s">
        <v>196</v>
      </c>
      <c r="L30" s="142"/>
      <c r="M30" s="142"/>
      <c r="N30" s="142"/>
      <c r="O30" s="142"/>
      <c r="P30" s="142"/>
      <c r="Q30" s="233"/>
      <c r="R30" s="226"/>
    </row>
    <row r="31" spans="1:18">
      <c r="A31" s="224"/>
      <c r="B31" s="224"/>
      <c r="C31" s="232"/>
      <c r="D31" s="124" t="s">
        <v>216</v>
      </c>
      <c r="E31" s="125"/>
      <c r="F31" s="125"/>
      <c r="G31" s="125"/>
      <c r="H31" s="125"/>
      <c r="I31" s="125"/>
      <c r="J31" s="125"/>
      <c r="K31" s="126">
        <v>0.4202495021879592</v>
      </c>
      <c r="L31" s="126">
        <v>0.41999691468990347</v>
      </c>
      <c r="M31" s="126">
        <v>0.41361061543898814</v>
      </c>
      <c r="N31" s="126">
        <v>0.41549999999999998</v>
      </c>
      <c r="O31" s="126">
        <v>0.41950000000000004</v>
      </c>
      <c r="P31" s="126"/>
      <c r="Q31" s="233"/>
      <c r="R31" s="226"/>
    </row>
    <row r="32" spans="1:18">
      <c r="A32" s="224"/>
      <c r="B32" s="224"/>
      <c r="C32" s="232"/>
      <c r="D32" s="124" t="s">
        <v>217</v>
      </c>
      <c r="E32" s="125"/>
      <c r="F32" s="125"/>
      <c r="G32" s="125"/>
      <c r="H32" s="125"/>
      <c r="I32" s="125"/>
      <c r="J32" s="125"/>
      <c r="K32" s="126">
        <v>0.4022497575017992</v>
      </c>
      <c r="L32" s="126">
        <v>0.4202495021879592</v>
      </c>
      <c r="M32" s="126">
        <v>0.41999691468990347</v>
      </c>
      <c r="N32" s="126">
        <v>0.41361061543898814</v>
      </c>
      <c r="O32" s="126">
        <v>0.41549999999999998</v>
      </c>
      <c r="P32" s="126">
        <v>0.41950000000000004</v>
      </c>
      <c r="Q32" s="233"/>
      <c r="R32" s="226"/>
    </row>
    <row r="33" spans="1:18">
      <c r="A33" s="224"/>
      <c r="B33" s="224"/>
      <c r="C33" s="232"/>
      <c r="D33" s="234"/>
      <c r="E33" s="234"/>
      <c r="F33" s="234"/>
      <c r="G33" s="234"/>
      <c r="H33" s="234"/>
      <c r="I33" s="234"/>
      <c r="J33" s="234"/>
      <c r="K33" s="234"/>
      <c r="L33" s="234"/>
      <c r="M33" s="234"/>
      <c r="N33" s="234"/>
      <c r="O33" s="234"/>
      <c r="P33" s="234"/>
      <c r="Q33" s="235"/>
      <c r="R33" s="226"/>
    </row>
    <row r="34" spans="1:18" ht="13.25" thickBot="1">
      <c r="A34" s="183" t="s">
        <v>218</v>
      </c>
      <c r="B34" s="224"/>
      <c r="C34" s="232"/>
      <c r="D34" s="124" t="s">
        <v>219</v>
      </c>
      <c r="E34" s="125"/>
      <c r="F34" s="125"/>
      <c r="G34" s="125"/>
      <c r="H34" s="125"/>
      <c r="I34" s="125"/>
      <c r="J34" s="125"/>
      <c r="K34" s="331">
        <v>0</v>
      </c>
      <c r="L34" s="331">
        <v>0</v>
      </c>
      <c r="M34" s="331">
        <v>0</v>
      </c>
      <c r="N34" s="331">
        <v>0</v>
      </c>
      <c r="O34" s="331">
        <v>0</v>
      </c>
      <c r="P34" s="331">
        <v>0.17</v>
      </c>
      <c r="Q34" s="233"/>
      <c r="R34" s="226"/>
    </row>
    <row r="35" spans="1:18">
      <c r="A35" s="224"/>
      <c r="B35" s="224"/>
      <c r="C35" s="232"/>
      <c r="D35" s="144"/>
      <c r="E35" s="144"/>
      <c r="F35" s="144"/>
      <c r="G35" s="144"/>
      <c r="H35" s="144"/>
      <c r="I35" s="144"/>
      <c r="J35" s="144"/>
      <c r="K35" s="236"/>
      <c r="L35" s="236"/>
      <c r="M35" s="236"/>
      <c r="N35" s="236"/>
      <c r="O35" s="236"/>
      <c r="P35" s="236"/>
      <c r="Q35" s="233"/>
      <c r="R35" s="226"/>
    </row>
    <row r="36" spans="1:18">
      <c r="A36" s="224"/>
      <c r="B36" s="224"/>
      <c r="C36" s="232"/>
      <c r="D36" s="146"/>
      <c r="E36" s="146"/>
      <c r="F36" s="146"/>
      <c r="G36" s="146"/>
      <c r="H36" s="147" t="s">
        <v>204</v>
      </c>
      <c r="I36" s="148" t="s">
        <v>205</v>
      </c>
      <c r="J36" s="148" t="s">
        <v>206</v>
      </c>
      <c r="K36" s="237"/>
      <c r="L36" s="237"/>
      <c r="M36" s="237"/>
      <c r="N36" s="237"/>
      <c r="O36" s="237"/>
      <c r="P36" s="237"/>
      <c r="Q36" s="233"/>
      <c r="R36" s="226"/>
    </row>
    <row r="37" spans="1:18">
      <c r="A37" s="224"/>
      <c r="B37" s="224"/>
      <c r="C37" s="232"/>
      <c r="D37" s="124" t="s">
        <v>220</v>
      </c>
      <c r="E37" s="125"/>
      <c r="F37" s="125"/>
      <c r="G37" s="125"/>
      <c r="H37" s="125"/>
      <c r="I37" s="160">
        <v>-0.05</v>
      </c>
      <c r="J37" s="158">
        <v>0.05</v>
      </c>
      <c r="K37" s="131">
        <v>1.7999744686160002E-2</v>
      </c>
      <c r="L37" s="132">
        <v>-2.5258749805573411E-4</v>
      </c>
      <c r="M37" s="132">
        <v>-6.3862992509153282E-3</v>
      </c>
      <c r="N37" s="132">
        <v>1.889384561011842E-3</v>
      </c>
      <c r="O37" s="132">
        <v>4.0000000000000591E-3</v>
      </c>
      <c r="P37" s="132">
        <v>0</v>
      </c>
      <c r="Q37" s="233"/>
      <c r="R37" s="226"/>
    </row>
    <row r="38" spans="1:18">
      <c r="A38" s="224"/>
      <c r="B38" s="224"/>
      <c r="C38" s="232"/>
      <c r="D38" s="124" t="s">
        <v>221</v>
      </c>
      <c r="E38" s="125"/>
      <c r="F38" s="125"/>
      <c r="G38" s="125"/>
      <c r="H38" s="125"/>
      <c r="I38" s="159">
        <v>3</v>
      </c>
      <c r="J38" s="149"/>
      <c r="K38" s="129">
        <v>13</v>
      </c>
      <c r="L38" s="129">
        <v>13</v>
      </c>
      <c r="M38" s="129">
        <v>6</v>
      </c>
      <c r="N38" s="336">
        <v>2</v>
      </c>
      <c r="O38" s="336">
        <v>1</v>
      </c>
      <c r="P38" s="129">
        <v>0</v>
      </c>
      <c r="Q38" s="233"/>
      <c r="R38" s="226"/>
    </row>
    <row r="39" spans="1:18" ht="13.25" thickBot="1">
      <c r="A39" s="224"/>
      <c r="B39" s="224"/>
      <c r="C39" s="232"/>
      <c r="D39" s="143"/>
      <c r="E39" s="144"/>
      <c r="F39" s="144"/>
      <c r="G39" s="144"/>
      <c r="H39" s="144"/>
      <c r="I39" s="145"/>
      <c r="J39" s="238"/>
      <c r="K39" s="239"/>
      <c r="L39" s="239"/>
      <c r="M39" s="239"/>
      <c r="N39" s="239"/>
      <c r="O39" s="239"/>
      <c r="P39" s="239"/>
      <c r="Q39" s="240"/>
      <c r="R39" s="226"/>
    </row>
    <row r="40" spans="1:18">
      <c r="A40" s="224"/>
      <c r="B40" s="224"/>
      <c r="C40" s="241"/>
      <c r="D40" s="133"/>
      <c r="E40" s="134"/>
      <c r="F40" s="134"/>
      <c r="G40" s="134"/>
      <c r="H40" s="134"/>
      <c r="I40" s="135"/>
      <c r="J40" s="242"/>
      <c r="K40" s="243"/>
      <c r="L40" s="243"/>
      <c r="M40" s="243"/>
      <c r="N40" s="243"/>
      <c r="O40" s="243"/>
      <c r="P40" s="243"/>
      <c r="Q40" s="244"/>
      <c r="R40" s="226"/>
    </row>
    <row r="41" spans="1:18">
      <c r="A41" s="191" t="s">
        <v>222</v>
      </c>
      <c r="B41" s="187"/>
      <c r="C41" s="191"/>
      <c r="D41" s="191"/>
      <c r="E41" s="245">
        <v>207580</v>
      </c>
      <c r="F41" s="245">
        <v>213140.00000000006</v>
      </c>
      <c r="G41" s="245">
        <v>238550</v>
      </c>
      <c r="H41" s="245">
        <v>260610</v>
      </c>
      <c r="I41" s="245">
        <v>246580</v>
      </c>
      <c r="J41" s="245">
        <v>287100</v>
      </c>
      <c r="K41" s="220">
        <v>348470.79621333495</v>
      </c>
      <c r="L41" s="245">
        <v>388273.90073360113</v>
      </c>
      <c r="M41" s="245">
        <v>442931.38082906179</v>
      </c>
      <c r="N41" s="334">
        <v>514298.06342016277</v>
      </c>
      <c r="O41" s="334">
        <v>590276.93400000012</v>
      </c>
      <c r="P41" s="245">
        <v>0</v>
      </c>
      <c r="Q41" s="188"/>
      <c r="R41" s="194"/>
    </row>
    <row r="42" spans="1:18" ht="13.25" thickBot="1">
      <c r="A42" s="321" t="s">
        <v>212</v>
      </c>
      <c r="B42" s="246"/>
      <c r="C42" s="112"/>
      <c r="D42" s="313" t="s">
        <v>194</v>
      </c>
      <c r="E42" s="225">
        <v>0.17596595629249107</v>
      </c>
      <c r="F42" s="225">
        <v>0.17313815960488696</v>
      </c>
      <c r="G42" s="225">
        <v>0.16287389989280568</v>
      </c>
      <c r="H42" s="225">
        <v>0.16604756959267022</v>
      </c>
      <c r="I42" s="225">
        <v>0.15019156154637983</v>
      </c>
      <c r="J42" s="225">
        <v>0.14972308269970899</v>
      </c>
      <c r="K42" s="225">
        <v>0.1591352861879077</v>
      </c>
      <c r="L42" s="225">
        <v>0.15864326068896045</v>
      </c>
      <c r="M42" s="225">
        <v>0.16259813892692332</v>
      </c>
      <c r="N42" s="225">
        <v>0.17598781965115615</v>
      </c>
      <c r="O42" s="225">
        <v>0.17248403488737699</v>
      </c>
      <c r="P42" s="225">
        <v>0.17248403488737699</v>
      </c>
      <c r="Q42" s="188"/>
      <c r="R42" s="226"/>
    </row>
    <row r="43" spans="1:18">
      <c r="A43" s="224"/>
      <c r="B43" s="224"/>
      <c r="C43" s="224"/>
      <c r="D43" s="211"/>
      <c r="E43" s="225"/>
      <c r="F43" s="225"/>
      <c r="G43" s="225"/>
      <c r="H43" s="225"/>
      <c r="I43" s="225"/>
      <c r="J43" s="225"/>
      <c r="K43" s="225"/>
      <c r="L43" s="225"/>
      <c r="M43" s="225"/>
      <c r="N43" s="225"/>
      <c r="O43" s="225"/>
      <c r="P43" s="225"/>
      <c r="Q43" s="205"/>
      <c r="R43" s="226"/>
    </row>
    <row r="44" spans="1:18">
      <c r="A44" s="224"/>
      <c r="B44" s="224"/>
      <c r="C44" s="247"/>
      <c r="D44" s="248"/>
      <c r="E44" s="249"/>
      <c r="F44" s="249"/>
      <c r="G44" s="249"/>
      <c r="H44" s="249"/>
      <c r="I44" s="249"/>
      <c r="J44" s="249"/>
      <c r="K44" s="250">
        <v>1</v>
      </c>
      <c r="L44" s="250">
        <v>1</v>
      </c>
      <c r="M44" s="250">
        <v>1</v>
      </c>
      <c r="N44" s="250">
        <v>1</v>
      </c>
      <c r="O44" s="250">
        <v>1</v>
      </c>
      <c r="P44" s="250">
        <v>2</v>
      </c>
      <c r="Q44" s="251"/>
      <c r="R44" s="226"/>
    </row>
    <row r="45" spans="1:18">
      <c r="A45" s="224"/>
      <c r="B45" s="224"/>
      <c r="C45" s="252"/>
      <c r="D45" s="150"/>
      <c r="E45" s="150"/>
      <c r="F45" s="150"/>
      <c r="G45" s="150"/>
      <c r="H45" s="150"/>
      <c r="I45" s="150"/>
      <c r="J45" s="150"/>
      <c r="K45" s="151" t="s">
        <v>196</v>
      </c>
      <c r="L45" s="151"/>
      <c r="M45" s="151"/>
      <c r="N45" s="151"/>
      <c r="O45" s="151"/>
      <c r="P45" s="151"/>
      <c r="Q45" s="253"/>
      <c r="R45" s="226"/>
    </row>
    <row r="46" spans="1:18">
      <c r="A46" s="224"/>
      <c r="B46" s="224"/>
      <c r="C46" s="252"/>
      <c r="D46" s="124" t="s">
        <v>223</v>
      </c>
      <c r="E46" s="125"/>
      <c r="F46" s="125"/>
      <c r="G46" s="125"/>
      <c r="H46" s="125"/>
      <c r="I46" s="125"/>
      <c r="J46" s="125"/>
      <c r="K46" s="136">
        <v>0.1591352861879077</v>
      </c>
      <c r="L46" s="136">
        <v>0.15864326068896045</v>
      </c>
      <c r="M46" s="136">
        <v>0.16259813892692332</v>
      </c>
      <c r="N46" s="136">
        <v>0.17598781965115615</v>
      </c>
      <c r="O46" s="136">
        <v>0.17248403488737699</v>
      </c>
      <c r="P46" s="136" t="s">
        <v>213</v>
      </c>
      <c r="Q46" s="254"/>
      <c r="R46" s="226"/>
    </row>
    <row r="47" spans="1:18">
      <c r="A47" s="224"/>
      <c r="B47" s="224"/>
      <c r="C47" s="252"/>
      <c r="D47" s="124" t="s">
        <v>224</v>
      </c>
      <c r="E47" s="125"/>
      <c r="F47" s="125"/>
      <c r="G47" s="125"/>
      <c r="H47" s="125"/>
      <c r="I47" s="125"/>
      <c r="J47" s="125"/>
      <c r="K47" s="126">
        <v>0.14972308269970899</v>
      </c>
      <c r="L47" s="126">
        <v>0.1591352861879077</v>
      </c>
      <c r="M47" s="126">
        <v>0.15864326068896045</v>
      </c>
      <c r="N47" s="126">
        <v>0.16259813892692332</v>
      </c>
      <c r="O47" s="126">
        <v>0.17598781965115615</v>
      </c>
      <c r="P47" s="126">
        <v>0.17248403488737699</v>
      </c>
      <c r="Q47" s="254"/>
      <c r="R47" s="226"/>
    </row>
    <row r="48" spans="1:18">
      <c r="A48" s="224"/>
      <c r="B48" s="224"/>
      <c r="C48" s="252"/>
      <c r="D48" s="248"/>
      <c r="E48" s="248"/>
      <c r="F48" s="248"/>
      <c r="G48" s="248"/>
      <c r="H48" s="248"/>
      <c r="I48" s="248"/>
      <c r="J48" s="248"/>
      <c r="K48" s="248"/>
      <c r="L48" s="248"/>
      <c r="M48" s="248"/>
      <c r="N48" s="248"/>
      <c r="O48" s="248"/>
      <c r="P48" s="248"/>
      <c r="Q48" s="254"/>
      <c r="R48" s="226"/>
    </row>
    <row r="49" spans="1:18" ht="13.25" thickBot="1">
      <c r="A49" s="183" t="s">
        <v>202</v>
      </c>
      <c r="B49" s="224"/>
      <c r="C49" s="252"/>
      <c r="D49" s="124" t="s">
        <v>219</v>
      </c>
      <c r="E49" s="125"/>
      <c r="F49" s="125"/>
      <c r="G49" s="125"/>
      <c r="H49" s="125"/>
      <c r="I49" s="125"/>
      <c r="J49" s="125"/>
      <c r="K49" s="331">
        <v>0</v>
      </c>
      <c r="L49" s="331">
        <v>0</v>
      </c>
      <c r="M49" s="331">
        <v>0</v>
      </c>
      <c r="N49" s="331">
        <v>0</v>
      </c>
      <c r="O49" s="331">
        <v>0</v>
      </c>
      <c r="P49" s="331">
        <v>0</v>
      </c>
      <c r="Q49" s="254"/>
      <c r="R49" s="226"/>
    </row>
    <row r="50" spans="1:18">
      <c r="A50" s="224"/>
      <c r="B50" s="224"/>
      <c r="C50" s="252"/>
      <c r="D50" s="153"/>
      <c r="E50" s="153"/>
      <c r="F50" s="153"/>
      <c r="G50" s="153"/>
      <c r="H50" s="153"/>
      <c r="I50" s="153"/>
      <c r="J50" s="153"/>
      <c r="K50" s="255"/>
      <c r="L50" s="255"/>
      <c r="M50" s="255"/>
      <c r="N50" s="255"/>
      <c r="O50" s="255"/>
      <c r="P50" s="255"/>
      <c r="Q50" s="254"/>
      <c r="R50" s="226"/>
    </row>
    <row r="51" spans="1:18">
      <c r="A51" s="224"/>
      <c r="B51" s="224"/>
      <c r="C51" s="252"/>
      <c r="D51" s="155"/>
      <c r="E51" s="155"/>
      <c r="F51" s="155"/>
      <c r="G51" s="155"/>
      <c r="H51" s="156" t="s">
        <v>204</v>
      </c>
      <c r="I51" s="157" t="s">
        <v>205</v>
      </c>
      <c r="J51" s="157" t="s">
        <v>206</v>
      </c>
      <c r="K51" s="256"/>
      <c r="L51" s="256"/>
      <c r="M51" s="256"/>
      <c r="N51" s="256"/>
      <c r="O51" s="256"/>
      <c r="P51" s="256"/>
      <c r="Q51" s="254"/>
      <c r="R51" s="226"/>
    </row>
    <row r="52" spans="1:18">
      <c r="A52" s="224"/>
      <c r="B52" s="224"/>
      <c r="C52" s="252"/>
      <c r="D52" s="124" t="s">
        <v>225</v>
      </c>
      <c r="E52" s="125"/>
      <c r="F52" s="125"/>
      <c r="G52" s="125"/>
      <c r="H52" s="125"/>
      <c r="I52" s="160">
        <v>-0.05</v>
      </c>
      <c r="J52" s="161">
        <v>0.05</v>
      </c>
      <c r="K52" s="131">
        <v>9.4122034881987116E-3</v>
      </c>
      <c r="L52" s="131">
        <v>-4.9202549894725167E-4</v>
      </c>
      <c r="M52" s="131">
        <v>3.9548782379628666E-3</v>
      </c>
      <c r="N52" s="131">
        <v>1.3389680724232828E-2</v>
      </c>
      <c r="O52" s="131">
        <v>-3.5037847637791608E-3</v>
      </c>
      <c r="P52" s="131">
        <v>0</v>
      </c>
      <c r="Q52" s="254"/>
      <c r="R52" s="226"/>
    </row>
    <row r="53" spans="1:18">
      <c r="A53" s="224"/>
      <c r="B53" s="224"/>
      <c r="C53" s="252"/>
      <c r="D53" s="124" t="s">
        <v>208</v>
      </c>
      <c r="E53" s="125"/>
      <c r="F53" s="125"/>
      <c r="G53" s="125"/>
      <c r="H53" s="125"/>
      <c r="I53" s="162">
        <v>3</v>
      </c>
      <c r="J53" s="149"/>
      <c r="K53" s="129">
        <v>48</v>
      </c>
      <c r="L53" s="129">
        <v>48</v>
      </c>
      <c r="M53" s="129">
        <v>17</v>
      </c>
      <c r="N53" s="129">
        <v>3</v>
      </c>
      <c r="O53" s="336">
        <v>2</v>
      </c>
      <c r="P53" s="129">
        <v>0</v>
      </c>
      <c r="Q53" s="254"/>
      <c r="R53" s="226"/>
    </row>
    <row r="54" spans="1:18">
      <c r="A54" s="224"/>
      <c r="B54" s="224"/>
      <c r="C54" s="252"/>
      <c r="D54" s="124" t="s">
        <v>221</v>
      </c>
      <c r="E54" s="125"/>
      <c r="F54" s="125"/>
      <c r="G54" s="125"/>
      <c r="H54" s="125"/>
      <c r="I54" s="162">
        <v>3</v>
      </c>
      <c r="J54" s="149"/>
      <c r="K54" s="129">
        <v>13</v>
      </c>
      <c r="L54" s="129">
        <v>13</v>
      </c>
      <c r="M54" s="129">
        <v>6</v>
      </c>
      <c r="N54" s="336">
        <v>2</v>
      </c>
      <c r="O54" s="336">
        <v>1</v>
      </c>
      <c r="P54" s="129">
        <v>0</v>
      </c>
      <c r="Q54" s="254"/>
      <c r="R54" s="226"/>
    </row>
    <row r="55" spans="1:18">
      <c r="A55" s="224"/>
      <c r="B55" s="224"/>
      <c r="C55" s="252"/>
      <c r="D55" s="124" t="s">
        <v>226</v>
      </c>
      <c r="E55" s="125"/>
      <c r="F55" s="125"/>
      <c r="G55" s="125"/>
      <c r="H55" s="125"/>
      <c r="I55" s="162">
        <v>3</v>
      </c>
      <c r="J55" s="149"/>
      <c r="K55" s="129">
        <v>46</v>
      </c>
      <c r="L55" s="129">
        <v>46</v>
      </c>
      <c r="M55" s="129">
        <v>16</v>
      </c>
      <c r="N55" s="336">
        <v>2</v>
      </c>
      <c r="O55" s="336">
        <v>1</v>
      </c>
      <c r="P55" s="129">
        <v>0</v>
      </c>
      <c r="Q55" s="254"/>
      <c r="R55" s="226"/>
    </row>
    <row r="56" spans="1:18" ht="13.25" thickBot="1">
      <c r="A56" s="224"/>
      <c r="B56" s="224"/>
      <c r="C56" s="252"/>
      <c r="D56" s="152"/>
      <c r="E56" s="153"/>
      <c r="F56" s="153"/>
      <c r="G56" s="153"/>
      <c r="H56" s="153"/>
      <c r="I56" s="154"/>
      <c r="J56" s="257"/>
      <c r="K56" s="258"/>
      <c r="L56" s="258"/>
      <c r="M56" s="258"/>
      <c r="N56" s="258"/>
      <c r="O56" s="258"/>
      <c r="P56" s="258"/>
      <c r="Q56" s="259"/>
      <c r="R56" s="226"/>
    </row>
    <row r="57" spans="1:18">
      <c r="A57" s="224"/>
      <c r="B57" s="224"/>
      <c r="C57" s="241"/>
      <c r="D57" s="133"/>
      <c r="E57" s="134"/>
      <c r="F57" s="134"/>
      <c r="G57" s="134"/>
      <c r="H57" s="134"/>
      <c r="I57" s="135"/>
      <c r="J57" s="242"/>
      <c r="K57" s="243"/>
      <c r="L57" s="243"/>
      <c r="M57" s="243"/>
      <c r="N57" s="243"/>
      <c r="O57" s="243"/>
      <c r="P57" s="243"/>
      <c r="Q57" s="260"/>
      <c r="R57" s="226"/>
    </row>
    <row r="58" spans="1:18">
      <c r="A58" s="322" t="s">
        <v>193</v>
      </c>
      <c r="B58" s="261"/>
      <c r="C58" s="261"/>
      <c r="D58" s="261"/>
      <c r="E58" s="221"/>
      <c r="F58" s="221">
        <v>2.6784854032180672E-2</v>
      </c>
      <c r="G58" s="221">
        <v>0.119217415783053</v>
      </c>
      <c r="H58" s="221">
        <v>9.2475372039404702E-2</v>
      </c>
      <c r="I58" s="221">
        <v>-5.3835232723226323E-2</v>
      </c>
      <c r="J58" s="221">
        <v>0.16432800713764295</v>
      </c>
      <c r="K58" s="221">
        <v>0.21376104567514775</v>
      </c>
      <c r="L58" s="221">
        <v>0.11422221016161882</v>
      </c>
      <c r="M58" s="221">
        <v>0.1407704200364519</v>
      </c>
      <c r="N58" s="221">
        <v>0.16112356378434867</v>
      </c>
      <c r="O58" s="221">
        <v>0.14773314539542692</v>
      </c>
      <c r="P58" s="221">
        <v>-1</v>
      </c>
      <c r="Q58" s="188"/>
      <c r="R58" s="226"/>
    </row>
    <row r="59" spans="1:18">
      <c r="A59" s="222" t="s">
        <v>227</v>
      </c>
      <c r="B59" s="222"/>
      <c r="C59" s="222"/>
      <c r="D59" s="222"/>
      <c r="E59" s="189">
        <v>303210</v>
      </c>
      <c r="F59" s="189">
        <v>305020</v>
      </c>
      <c r="G59" s="189">
        <v>374500</v>
      </c>
      <c r="H59" s="189">
        <v>385660</v>
      </c>
      <c r="I59" s="189">
        <v>423810</v>
      </c>
      <c r="J59" s="189">
        <v>484230</v>
      </c>
      <c r="K59" s="189">
        <v>571781.91544970404</v>
      </c>
      <c r="L59" s="189">
        <v>639654.04057650943</v>
      </c>
      <c r="M59" s="189">
        <v>683779.67644992331</v>
      </c>
      <c r="N59" s="189">
        <v>699938.50007983716</v>
      </c>
      <c r="O59" s="189">
        <v>845341</v>
      </c>
      <c r="P59" s="189">
        <v>0</v>
      </c>
      <c r="Q59" s="188"/>
      <c r="R59" s="206"/>
    </row>
    <row r="60" spans="1:18">
      <c r="A60" s="321" t="s">
        <v>215</v>
      </c>
      <c r="B60" s="224"/>
      <c r="C60" s="224"/>
      <c r="D60" s="224"/>
      <c r="E60" s="225">
        <v>0.25703168709628199</v>
      </c>
      <c r="F60" s="225">
        <v>0.24777423966727319</v>
      </c>
      <c r="G60" s="225">
        <v>0.2556959778237507</v>
      </c>
      <c r="H60" s="225">
        <v>0.24572313299224588</v>
      </c>
      <c r="I60" s="225">
        <v>0.25814212709453821</v>
      </c>
      <c r="J60" s="225">
        <v>0.25252667480209018</v>
      </c>
      <c r="K60" s="225">
        <v>0.26111421600005158</v>
      </c>
      <c r="L60" s="225">
        <v>0.26135365400094301</v>
      </c>
      <c r="M60" s="225">
        <v>0.25101247651206482</v>
      </c>
      <c r="N60" s="225">
        <v>0.23951218034884381</v>
      </c>
      <c r="O60" s="225">
        <v>0.24701596511262305</v>
      </c>
      <c r="P60" s="225" t="s">
        <v>213</v>
      </c>
      <c r="Q60" s="188"/>
      <c r="R60" s="226"/>
    </row>
    <row r="61" spans="1:18">
      <c r="A61" s="262" t="s">
        <v>228</v>
      </c>
      <c r="B61" s="262"/>
      <c r="C61" s="262"/>
      <c r="D61" s="262"/>
      <c r="E61" s="188">
        <v>79625</v>
      </c>
      <c r="F61" s="188">
        <v>82120</v>
      </c>
      <c r="G61" s="188">
        <v>100010</v>
      </c>
      <c r="H61" s="188">
        <v>97188</v>
      </c>
      <c r="I61" s="188">
        <v>115286</v>
      </c>
      <c r="J61" s="188">
        <v>132266</v>
      </c>
      <c r="K61" s="188">
        <v>140213.40035568431</v>
      </c>
      <c r="L61" s="188">
        <v>157412.88220576404</v>
      </c>
      <c r="M61" s="188">
        <v>169019.56846164845</v>
      </c>
      <c r="N61" s="188">
        <v>175203.31113993272</v>
      </c>
      <c r="O61" s="188">
        <v>210472.23064689417</v>
      </c>
      <c r="P61" s="188">
        <v>0</v>
      </c>
      <c r="Q61" s="188"/>
      <c r="R61" s="194"/>
    </row>
    <row r="62" spans="1:18" ht="13.25" thickBot="1">
      <c r="A62" s="322" t="s">
        <v>229</v>
      </c>
      <c r="B62" s="261"/>
      <c r="C62" s="137"/>
      <c r="D62" s="313" t="s">
        <v>194</v>
      </c>
      <c r="E62" s="221">
        <v>0.23510393291602694</v>
      </c>
      <c r="F62" s="221">
        <v>0.24087762524932535</v>
      </c>
      <c r="G62" s="221">
        <v>0.240622669200972</v>
      </c>
      <c r="H62" s="221">
        <v>0.23154333635107449</v>
      </c>
      <c r="I62" s="221">
        <v>0.25697918059827918</v>
      </c>
      <c r="J62" s="221">
        <v>0.25608627466165851</v>
      </c>
      <c r="K62" s="221">
        <v>0.24522181721226191</v>
      </c>
      <c r="L62" s="221">
        <v>0.24609065560484922</v>
      </c>
      <c r="M62" s="221">
        <v>0.24718425288562465</v>
      </c>
      <c r="N62" s="221">
        <v>0.25031243619253474</v>
      </c>
      <c r="O62" s="221">
        <v>0.24897908731138579</v>
      </c>
      <c r="P62" s="221">
        <v>0.24755764984133127</v>
      </c>
      <c r="Q62" s="188"/>
      <c r="R62" s="226"/>
    </row>
    <row r="63" spans="1:18">
      <c r="A63" s="224"/>
      <c r="B63" s="224"/>
      <c r="C63" s="224"/>
      <c r="D63" s="211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88"/>
      <c r="R63" s="226"/>
    </row>
    <row r="64" spans="1:18">
      <c r="A64" s="224"/>
      <c r="B64" s="224"/>
      <c r="C64" s="247"/>
      <c r="D64" s="150"/>
      <c r="E64" s="165"/>
      <c r="F64" s="165"/>
      <c r="G64" s="165"/>
      <c r="H64" s="165"/>
      <c r="I64" s="165"/>
      <c r="J64" s="165"/>
      <c r="K64" s="166">
        <v>1</v>
      </c>
      <c r="L64" s="166">
        <v>1</v>
      </c>
      <c r="M64" s="166">
        <v>1</v>
      </c>
      <c r="N64" s="166">
        <v>1</v>
      </c>
      <c r="O64" s="166">
        <v>1</v>
      </c>
      <c r="P64" s="166">
        <v>1</v>
      </c>
      <c r="Q64" s="263"/>
      <c r="R64" s="226"/>
    </row>
    <row r="65" spans="1:18">
      <c r="A65" s="224"/>
      <c r="B65" s="224"/>
      <c r="C65" s="252"/>
      <c r="D65" s="150"/>
      <c r="E65" s="150"/>
      <c r="F65" s="150"/>
      <c r="G65" s="150"/>
      <c r="H65" s="150"/>
      <c r="I65" s="150"/>
      <c r="J65" s="150"/>
      <c r="K65" s="150" t="s">
        <v>196</v>
      </c>
      <c r="L65" s="150"/>
      <c r="M65" s="150"/>
      <c r="N65" s="150"/>
      <c r="O65" s="150"/>
      <c r="P65" s="150"/>
      <c r="Q65" s="254"/>
      <c r="R65" s="226"/>
    </row>
    <row r="66" spans="1:18">
      <c r="A66" s="224"/>
      <c r="B66" s="224"/>
      <c r="C66" s="252"/>
      <c r="D66" s="124" t="s">
        <v>230</v>
      </c>
      <c r="E66" s="125"/>
      <c r="F66" s="125"/>
      <c r="G66" s="125"/>
      <c r="H66" s="125"/>
      <c r="I66" s="125"/>
      <c r="J66" s="125"/>
      <c r="K66" s="136">
        <v>0.24522181721226191</v>
      </c>
      <c r="L66" s="136">
        <v>0.24609065560484922</v>
      </c>
      <c r="M66" s="136">
        <v>0.24718425288562465</v>
      </c>
      <c r="N66" s="136">
        <v>0.25031243619253474</v>
      </c>
      <c r="O66" s="136">
        <v>0.24897908731138579</v>
      </c>
      <c r="P66" s="136">
        <v>0.24755764984133127</v>
      </c>
      <c r="Q66" s="254"/>
      <c r="R66" s="226"/>
    </row>
    <row r="67" spans="1:18">
      <c r="A67" s="224"/>
      <c r="B67" s="224"/>
      <c r="C67" s="252"/>
      <c r="D67" s="124" t="s">
        <v>231</v>
      </c>
      <c r="E67" s="125"/>
      <c r="F67" s="125"/>
      <c r="G67" s="125"/>
      <c r="H67" s="125"/>
      <c r="I67" s="125"/>
      <c r="J67" s="125"/>
      <c r="K67" s="126">
        <v>0.25608627466165851</v>
      </c>
      <c r="L67" s="126">
        <v>0.24522181721226191</v>
      </c>
      <c r="M67" s="126">
        <v>0.24609065560484922</v>
      </c>
      <c r="N67" s="126">
        <v>0.24718425288562465</v>
      </c>
      <c r="O67" s="126">
        <v>0.25031243619253474</v>
      </c>
      <c r="P67" s="126">
        <v>0.24897908731138579</v>
      </c>
      <c r="Q67" s="254"/>
      <c r="R67" s="226"/>
    </row>
    <row r="68" spans="1:18">
      <c r="A68" s="224"/>
      <c r="B68" s="224"/>
      <c r="C68" s="252"/>
      <c r="D68" s="248"/>
      <c r="E68" s="248"/>
      <c r="F68" s="248"/>
      <c r="G68" s="248"/>
      <c r="H68" s="248"/>
      <c r="I68" s="248"/>
      <c r="J68" s="248"/>
      <c r="K68" s="248"/>
      <c r="L68" s="248"/>
      <c r="M68" s="248"/>
      <c r="N68" s="248"/>
      <c r="O68" s="248"/>
      <c r="P68" s="248"/>
      <c r="Q68" s="254"/>
      <c r="R68" s="226"/>
    </row>
    <row r="69" spans="1:18" ht="13.25" thickBot="1">
      <c r="A69" s="183" t="s">
        <v>202</v>
      </c>
      <c r="B69" s="224"/>
      <c r="C69" s="252"/>
      <c r="D69" s="124" t="s">
        <v>219</v>
      </c>
      <c r="E69" s="125"/>
      <c r="F69" s="125"/>
      <c r="G69" s="125"/>
      <c r="H69" s="125"/>
      <c r="I69" s="125"/>
      <c r="J69" s="125"/>
      <c r="K69" s="186" t="s">
        <v>232</v>
      </c>
      <c r="L69" s="186" t="s">
        <v>232</v>
      </c>
      <c r="M69" s="331" t="s">
        <v>232</v>
      </c>
      <c r="N69" s="331" t="s">
        <v>232</v>
      </c>
      <c r="O69" s="186" t="s">
        <v>232</v>
      </c>
      <c r="P69" s="186" t="s">
        <v>232</v>
      </c>
      <c r="Q69" s="254"/>
      <c r="R69" s="226"/>
    </row>
    <row r="70" spans="1:18">
      <c r="A70" s="224"/>
      <c r="B70" s="224"/>
      <c r="C70" s="252"/>
      <c r="D70" s="153"/>
      <c r="E70" s="153"/>
      <c r="F70" s="153"/>
      <c r="G70" s="153"/>
      <c r="H70" s="153"/>
      <c r="I70" s="153"/>
      <c r="J70" s="153"/>
      <c r="K70" s="255"/>
      <c r="L70" s="255"/>
      <c r="M70" s="255"/>
      <c r="N70" s="255"/>
      <c r="O70" s="255"/>
      <c r="P70" s="255"/>
      <c r="Q70" s="254"/>
      <c r="R70" s="226"/>
    </row>
    <row r="71" spans="1:18">
      <c r="A71" s="224"/>
      <c r="B71" s="224"/>
      <c r="C71" s="252"/>
      <c r="D71" s="155"/>
      <c r="E71" s="155"/>
      <c r="F71" s="155"/>
      <c r="G71" s="155"/>
      <c r="H71" s="156" t="s">
        <v>204</v>
      </c>
      <c r="I71" s="157" t="s">
        <v>205</v>
      </c>
      <c r="J71" s="157" t="s">
        <v>206</v>
      </c>
      <c r="K71" s="256"/>
      <c r="L71" s="256"/>
      <c r="M71" s="256"/>
      <c r="N71" s="256"/>
      <c r="O71" s="256"/>
      <c r="P71" s="256"/>
      <c r="Q71" s="254"/>
      <c r="R71" s="226"/>
    </row>
    <row r="72" spans="1:18">
      <c r="A72" s="224"/>
      <c r="B72" s="224"/>
      <c r="C72" s="252"/>
      <c r="D72" s="124" t="s">
        <v>233</v>
      </c>
      <c r="E72" s="125"/>
      <c r="F72" s="125"/>
      <c r="G72" s="125"/>
      <c r="H72" s="125"/>
      <c r="I72" s="160">
        <v>0</v>
      </c>
      <c r="J72" s="161">
        <v>0.5</v>
      </c>
      <c r="K72" s="346">
        <v>0.24522181721226191</v>
      </c>
      <c r="L72" s="347">
        <v>0.24609065560484922</v>
      </c>
      <c r="M72" s="347">
        <v>0.24718425288562465</v>
      </c>
      <c r="N72" s="347">
        <v>0.25031243619253474</v>
      </c>
      <c r="O72" s="347">
        <v>0.24897908731138579</v>
      </c>
      <c r="P72" s="347">
        <v>0.24755764984133127</v>
      </c>
      <c r="Q72" s="254"/>
      <c r="R72" s="226"/>
    </row>
    <row r="73" spans="1:18" ht="13.25" thickBot="1">
      <c r="A73" s="224"/>
      <c r="B73" s="224"/>
      <c r="C73" s="252"/>
      <c r="D73" s="152"/>
      <c r="E73" s="153"/>
      <c r="F73" s="153"/>
      <c r="G73" s="153"/>
      <c r="H73" s="153"/>
      <c r="I73" s="153"/>
      <c r="J73" s="153"/>
      <c r="K73" s="256"/>
      <c r="L73" s="256"/>
      <c r="M73" s="256"/>
      <c r="N73" s="256"/>
      <c r="O73" s="256"/>
      <c r="P73" s="256"/>
      <c r="Q73" s="259"/>
      <c r="R73" s="226"/>
    </row>
    <row r="74" spans="1:18">
      <c r="A74" s="224"/>
      <c r="B74" s="224"/>
      <c r="C74" s="241"/>
      <c r="D74" s="133"/>
      <c r="E74" s="134"/>
      <c r="F74" s="134"/>
      <c r="G74" s="134"/>
      <c r="H74" s="134"/>
      <c r="I74" s="134"/>
      <c r="J74" s="134"/>
      <c r="K74" s="264"/>
      <c r="L74" s="264"/>
      <c r="M74" s="264"/>
      <c r="N74" s="264"/>
      <c r="O74" s="264"/>
      <c r="P74" s="264"/>
      <c r="Q74" s="260"/>
      <c r="R74" s="226"/>
    </row>
    <row r="75" spans="1:18">
      <c r="A75" s="222" t="s">
        <v>234</v>
      </c>
      <c r="B75" s="222"/>
      <c r="C75" s="222"/>
      <c r="D75" s="222"/>
      <c r="E75" s="189">
        <v>223585</v>
      </c>
      <c r="F75" s="189">
        <v>222900</v>
      </c>
      <c r="G75" s="189">
        <v>274490</v>
      </c>
      <c r="H75" s="189">
        <v>288472</v>
      </c>
      <c r="I75" s="189">
        <v>308524</v>
      </c>
      <c r="J75" s="189">
        <v>351964</v>
      </c>
      <c r="K75" s="189">
        <v>431568.51509401971</v>
      </c>
      <c r="L75" s="189">
        <v>482241.15837074537</v>
      </c>
      <c r="M75" s="189">
        <v>514760.10798827489</v>
      </c>
      <c r="N75" s="189">
        <v>524735.18893990444</v>
      </c>
      <c r="O75" s="189">
        <v>634868.7693531058</v>
      </c>
      <c r="P75" s="189">
        <v>0</v>
      </c>
      <c r="Q75" s="188"/>
      <c r="R75" s="206"/>
    </row>
    <row r="76" spans="1:18">
      <c r="A76" s="321" t="s">
        <v>215</v>
      </c>
      <c r="B76" s="224"/>
      <c r="C76" s="224"/>
      <c r="D76" s="224"/>
      <c r="E76" s="225">
        <v>0.18953342488513639</v>
      </c>
      <c r="F76" s="225">
        <v>0.18106641538861451</v>
      </c>
      <c r="G76" s="225">
        <v>0.18741252056833466</v>
      </c>
      <c r="H76" s="225">
        <v>0.1837998330667924</v>
      </c>
      <c r="I76" s="225">
        <v>0.18792157244924684</v>
      </c>
      <c r="J76" s="225">
        <v>0.18354975645879618</v>
      </c>
      <c r="K76" s="225">
        <v>0.19708331345256386</v>
      </c>
      <c r="L76" s="225">
        <v>0.197036961943128</v>
      </c>
      <c r="M76" s="225">
        <v>0.18896614504045967</v>
      </c>
      <c r="N76" s="225">
        <v>0.17955930298793896</v>
      </c>
      <c r="O76" s="225">
        <v>0.18551415556754106</v>
      </c>
      <c r="P76" s="225" t="s">
        <v>213</v>
      </c>
      <c r="Q76" s="188"/>
      <c r="R76" s="223"/>
    </row>
    <row r="77" spans="1:18">
      <c r="A77" s="265" t="s">
        <v>235</v>
      </c>
      <c r="B77" s="265"/>
      <c r="C77" s="265"/>
      <c r="D77" s="265"/>
      <c r="E77" s="220">
        <v>19870</v>
      </c>
      <c r="F77" s="220">
        <v>20140</v>
      </c>
      <c r="G77" s="220">
        <v>20560</v>
      </c>
      <c r="H77" s="220">
        <v>35290</v>
      </c>
      <c r="I77" s="220">
        <v>40650</v>
      </c>
      <c r="J77" s="220">
        <v>46040</v>
      </c>
      <c r="K77" s="220">
        <v>48376.862992635979</v>
      </c>
      <c r="L77" s="220">
        <v>52000.761007082205</v>
      </c>
      <c r="M77" s="220">
        <v>58568.53299494119</v>
      </c>
      <c r="N77" s="335">
        <v>53794.50000613599</v>
      </c>
      <c r="O77" s="335">
        <v>51693</v>
      </c>
      <c r="P77" s="220">
        <v>0</v>
      </c>
      <c r="Q77" s="188"/>
      <c r="R77" s="193"/>
    </row>
    <row r="78" spans="1:18" ht="13.25" thickBot="1">
      <c r="A78" s="321" t="s">
        <v>212</v>
      </c>
      <c r="B78" s="224"/>
      <c r="C78" s="112"/>
      <c r="D78" s="313" t="s">
        <v>194</v>
      </c>
      <c r="E78" s="225">
        <v>1.6843836359629046E-2</v>
      </c>
      <c r="F78" s="225">
        <v>1.6360150766831297E-2</v>
      </c>
      <c r="G78" s="225">
        <v>1.4037675044209118E-2</v>
      </c>
      <c r="H78" s="225">
        <v>2.248501105454638E-2</v>
      </c>
      <c r="I78" s="225">
        <v>2.4759862830969016E-2</v>
      </c>
      <c r="J78" s="225">
        <v>2.4009929388695932E-2</v>
      </c>
      <c r="K78" s="225">
        <v>2.2092140922171571E-2</v>
      </c>
      <c r="L78" s="225">
        <v>2.1246780349861813E-2</v>
      </c>
      <c r="M78" s="225">
        <v>2.1500247841623923E-2</v>
      </c>
      <c r="N78" s="225">
        <v>1.8407957250209672E-2</v>
      </c>
      <c r="O78" s="225">
        <v>1.5105142521854286E-2</v>
      </c>
      <c r="P78" s="225">
        <v>1.5105142521854286E-2</v>
      </c>
      <c r="Q78" s="188"/>
      <c r="R78" s="223"/>
    </row>
    <row r="79" spans="1:18">
      <c r="A79" s="224"/>
      <c r="B79" s="224"/>
      <c r="C79" s="224"/>
      <c r="D79" s="211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88"/>
      <c r="R79" s="226"/>
    </row>
    <row r="80" spans="1:18">
      <c r="A80" s="224"/>
      <c r="B80" s="224"/>
      <c r="C80" s="247"/>
      <c r="D80" s="150"/>
      <c r="E80" s="165"/>
      <c r="F80" s="165"/>
      <c r="G80" s="165"/>
      <c r="H80" s="165"/>
      <c r="I80" s="165"/>
      <c r="J80" s="165"/>
      <c r="K80" s="166">
        <v>1</v>
      </c>
      <c r="L80" s="166">
        <v>1</v>
      </c>
      <c r="M80" s="166">
        <v>1</v>
      </c>
      <c r="N80" s="166">
        <v>1</v>
      </c>
      <c r="O80" s="166">
        <v>1</v>
      </c>
      <c r="P80" s="166">
        <v>2</v>
      </c>
      <c r="Q80" s="263"/>
      <c r="R80" s="226"/>
    </row>
    <row r="81" spans="1:18">
      <c r="A81" s="224"/>
      <c r="B81" s="224"/>
      <c r="C81" s="252"/>
      <c r="D81" s="150"/>
      <c r="E81" s="150"/>
      <c r="F81" s="150"/>
      <c r="G81" s="150"/>
      <c r="H81" s="150"/>
      <c r="I81" s="150"/>
      <c r="J81" s="150"/>
      <c r="K81" s="151" t="s">
        <v>196</v>
      </c>
      <c r="L81" s="151"/>
      <c r="M81" s="151"/>
      <c r="N81" s="151"/>
      <c r="O81" s="151"/>
      <c r="P81" s="151"/>
      <c r="Q81" s="254"/>
      <c r="R81" s="226"/>
    </row>
    <row r="82" spans="1:18">
      <c r="A82" s="224"/>
      <c r="B82" s="224"/>
      <c r="C82" s="252"/>
      <c r="D82" s="124" t="s">
        <v>236</v>
      </c>
      <c r="E82" s="125"/>
      <c r="F82" s="125"/>
      <c r="G82" s="125"/>
      <c r="H82" s="125"/>
      <c r="I82" s="125"/>
      <c r="J82" s="125"/>
      <c r="K82" s="136">
        <v>2.2092140922171571E-2</v>
      </c>
      <c r="L82" s="136">
        <v>2.1246780349861813E-2</v>
      </c>
      <c r="M82" s="136">
        <v>2.1500247841623923E-2</v>
      </c>
      <c r="N82" s="136">
        <v>1.8407957250209672E-2</v>
      </c>
      <c r="O82" s="136">
        <v>1.5105142521854286E-2</v>
      </c>
      <c r="P82" s="136" t="s">
        <v>213</v>
      </c>
      <c r="Q82" s="254"/>
      <c r="R82" s="226"/>
    </row>
    <row r="83" spans="1:18">
      <c r="A83" s="224"/>
      <c r="B83" s="224"/>
      <c r="C83" s="252"/>
      <c r="D83" s="124" t="s">
        <v>237</v>
      </c>
      <c r="E83" s="125"/>
      <c r="F83" s="125"/>
      <c r="G83" s="125"/>
      <c r="H83" s="125"/>
      <c r="I83" s="125"/>
      <c r="J83" s="125"/>
      <c r="K83" s="126">
        <v>2.4009929388695932E-2</v>
      </c>
      <c r="L83" s="126">
        <v>2.2092140922171571E-2</v>
      </c>
      <c r="M83" s="126">
        <v>2.1246780349861813E-2</v>
      </c>
      <c r="N83" s="126">
        <v>2.1500247841623923E-2</v>
      </c>
      <c r="O83" s="126">
        <v>1.8407957250209672E-2</v>
      </c>
      <c r="P83" s="126">
        <v>1.5105142521854286E-2</v>
      </c>
      <c r="Q83" s="254"/>
      <c r="R83" s="226"/>
    </row>
    <row r="84" spans="1:18">
      <c r="A84" s="224"/>
      <c r="B84" s="224"/>
      <c r="C84" s="252"/>
      <c r="D84" s="248"/>
      <c r="E84" s="248"/>
      <c r="F84" s="248"/>
      <c r="G84" s="248"/>
      <c r="H84" s="248"/>
      <c r="I84" s="248"/>
      <c r="J84" s="248"/>
      <c r="K84" s="248"/>
      <c r="L84" s="248"/>
      <c r="M84" s="248"/>
      <c r="N84" s="248"/>
      <c r="O84" s="248"/>
      <c r="P84" s="248"/>
      <c r="Q84" s="254"/>
      <c r="R84" s="226"/>
    </row>
    <row r="85" spans="1:18" ht="13.25" thickBot="1">
      <c r="A85" s="183" t="s">
        <v>202</v>
      </c>
      <c r="B85" s="224"/>
      <c r="C85" s="252"/>
      <c r="D85" s="124" t="s">
        <v>219</v>
      </c>
      <c r="E85" s="125"/>
      <c r="F85" s="125"/>
      <c r="G85" s="125"/>
      <c r="H85" s="125"/>
      <c r="I85" s="125"/>
      <c r="J85" s="125"/>
      <c r="K85" s="331">
        <v>0</v>
      </c>
      <c r="L85" s="331">
        <v>0</v>
      </c>
      <c r="M85" s="331">
        <v>0</v>
      </c>
      <c r="N85" s="331">
        <v>0</v>
      </c>
      <c r="O85" s="331">
        <v>0</v>
      </c>
      <c r="P85" s="331">
        <v>0</v>
      </c>
      <c r="Q85" s="254"/>
      <c r="R85" s="226"/>
    </row>
    <row r="86" spans="1:18">
      <c r="A86" s="224"/>
      <c r="B86" s="224"/>
      <c r="C86" s="252"/>
      <c r="D86" s="153"/>
      <c r="E86" s="153"/>
      <c r="F86" s="153"/>
      <c r="G86" s="153"/>
      <c r="H86" s="153"/>
      <c r="I86" s="153"/>
      <c r="J86" s="153"/>
      <c r="K86" s="255"/>
      <c r="L86" s="255"/>
      <c r="M86" s="255"/>
      <c r="N86" s="255"/>
      <c r="O86" s="255"/>
      <c r="P86" s="255"/>
      <c r="Q86" s="254"/>
      <c r="R86" s="226"/>
    </row>
    <row r="87" spans="1:18">
      <c r="A87" s="224"/>
      <c r="B87" s="224"/>
      <c r="C87" s="252"/>
      <c r="D87" s="155"/>
      <c r="E87" s="155"/>
      <c r="F87" s="155"/>
      <c r="G87" s="155"/>
      <c r="H87" s="156" t="s">
        <v>204</v>
      </c>
      <c r="I87" s="157" t="s">
        <v>205</v>
      </c>
      <c r="J87" s="157" t="s">
        <v>206</v>
      </c>
      <c r="K87" s="256"/>
      <c r="L87" s="256"/>
      <c r="M87" s="256"/>
      <c r="N87" s="256"/>
      <c r="O87" s="256"/>
      <c r="P87" s="256"/>
      <c r="Q87" s="254"/>
      <c r="R87" s="226"/>
    </row>
    <row r="88" spans="1:18">
      <c r="A88" s="224"/>
      <c r="B88" s="224"/>
      <c r="C88" s="252"/>
      <c r="D88" s="124" t="s">
        <v>238</v>
      </c>
      <c r="E88" s="125"/>
      <c r="F88" s="125"/>
      <c r="G88" s="125"/>
      <c r="H88" s="125"/>
      <c r="I88" s="160">
        <v>-0.05</v>
      </c>
      <c r="J88" s="161">
        <v>0.05</v>
      </c>
      <c r="K88" s="116">
        <v>-1.9177884665243609E-3</v>
      </c>
      <c r="L88" s="138">
        <v>-8.4536057230975847E-4</v>
      </c>
      <c r="M88" s="115">
        <v>2.5346749176211048E-4</v>
      </c>
      <c r="N88" s="115">
        <v>-3.0922905914142519E-3</v>
      </c>
      <c r="O88" s="115">
        <v>-3.3028147283553858E-3</v>
      </c>
      <c r="P88" s="115">
        <v>0</v>
      </c>
      <c r="Q88" s="254"/>
      <c r="R88" s="226"/>
    </row>
    <row r="89" spans="1:18">
      <c r="A89" s="224"/>
      <c r="B89" s="224"/>
      <c r="C89" s="252"/>
      <c r="D89" s="124" t="s">
        <v>208</v>
      </c>
      <c r="E89" s="125"/>
      <c r="F89" s="125"/>
      <c r="G89" s="125"/>
      <c r="H89" s="125"/>
      <c r="I89" s="162">
        <v>3</v>
      </c>
      <c r="J89" s="149"/>
      <c r="K89" s="129">
        <v>48</v>
      </c>
      <c r="L89" s="129">
        <v>48</v>
      </c>
      <c r="M89" s="129">
        <v>17</v>
      </c>
      <c r="N89" s="129">
        <v>3</v>
      </c>
      <c r="O89" s="336">
        <v>2</v>
      </c>
      <c r="P89" s="129">
        <v>0</v>
      </c>
      <c r="Q89" s="254"/>
      <c r="R89" s="226"/>
    </row>
    <row r="90" spans="1:18">
      <c r="A90" s="224"/>
      <c r="B90" s="224"/>
      <c r="C90" s="252"/>
      <c r="D90" s="124" t="s">
        <v>226</v>
      </c>
      <c r="E90" s="125"/>
      <c r="F90" s="125"/>
      <c r="G90" s="125"/>
      <c r="H90" s="125"/>
      <c r="I90" s="162">
        <v>3</v>
      </c>
      <c r="J90" s="149"/>
      <c r="K90" s="129">
        <v>46</v>
      </c>
      <c r="L90" s="129">
        <v>46</v>
      </c>
      <c r="M90" s="129">
        <v>16</v>
      </c>
      <c r="N90" s="336">
        <v>2</v>
      </c>
      <c r="O90" s="336">
        <v>1</v>
      </c>
      <c r="P90" s="129">
        <v>0</v>
      </c>
      <c r="Q90" s="254"/>
      <c r="R90" s="226"/>
    </row>
    <row r="91" spans="1:18">
      <c r="A91" s="224"/>
      <c r="B91" s="224"/>
      <c r="C91" s="252"/>
      <c r="D91" s="124" t="s">
        <v>239</v>
      </c>
      <c r="E91" s="125"/>
      <c r="F91" s="125"/>
      <c r="G91" s="125"/>
      <c r="H91" s="125"/>
      <c r="I91" s="162">
        <v>3</v>
      </c>
      <c r="J91" s="149"/>
      <c r="K91" s="129">
        <v>42</v>
      </c>
      <c r="L91" s="129">
        <v>42</v>
      </c>
      <c r="M91" s="129">
        <v>15</v>
      </c>
      <c r="N91" s="336">
        <v>2</v>
      </c>
      <c r="O91" s="336">
        <v>1</v>
      </c>
      <c r="P91" s="129">
        <v>1</v>
      </c>
      <c r="Q91" s="254"/>
      <c r="R91" s="226"/>
    </row>
    <row r="92" spans="1:18" ht="13.25" thickBot="1">
      <c r="A92" s="224"/>
      <c r="B92" s="224"/>
      <c r="C92" s="252"/>
      <c r="D92" s="152"/>
      <c r="E92" s="153"/>
      <c r="F92" s="153"/>
      <c r="G92" s="153"/>
      <c r="H92" s="153"/>
      <c r="I92" s="153"/>
      <c r="J92" s="257"/>
      <c r="K92" s="258"/>
      <c r="L92" s="258"/>
      <c r="M92" s="258"/>
      <c r="N92" s="258"/>
      <c r="O92" s="258"/>
      <c r="P92" s="258"/>
      <c r="Q92" s="259"/>
      <c r="R92" s="226"/>
    </row>
    <row r="93" spans="1:18">
      <c r="A93" s="224"/>
      <c r="B93" s="224"/>
      <c r="C93" s="241"/>
      <c r="D93" s="133"/>
      <c r="E93" s="134"/>
      <c r="F93" s="134"/>
      <c r="G93" s="134"/>
      <c r="H93" s="134"/>
      <c r="I93" s="134"/>
      <c r="J93" s="242"/>
      <c r="K93" s="243"/>
      <c r="L93" s="243"/>
      <c r="M93" s="243"/>
      <c r="N93" s="243"/>
      <c r="O93" s="243"/>
      <c r="P93" s="243"/>
      <c r="Q93" s="260"/>
      <c r="R93" s="226"/>
    </row>
    <row r="94" spans="1:18">
      <c r="A94" s="321" t="s">
        <v>193</v>
      </c>
      <c r="B94" s="224"/>
      <c r="C94" s="224"/>
      <c r="D94" s="224"/>
      <c r="E94" s="225"/>
      <c r="F94" s="225">
        <v>1.3588324106693417E-2</v>
      </c>
      <c r="G94" s="225">
        <v>2.0854021847070525E-2</v>
      </c>
      <c r="H94" s="225">
        <v>0.7164396887159532</v>
      </c>
      <c r="I94" s="225">
        <v>0.15188438651175962</v>
      </c>
      <c r="J94" s="225">
        <v>0.13259532595325951</v>
      </c>
      <c r="K94" s="225">
        <v>5.0757232681059472E-2</v>
      </c>
      <c r="L94" s="225">
        <v>7.4909735569209213E-2</v>
      </c>
      <c r="M94" s="225">
        <v>0.12630145906834889</v>
      </c>
      <c r="N94" s="225">
        <v>-8.1511909974210095E-2</v>
      </c>
      <c r="O94" s="225">
        <v>-3.9065332067335645E-2</v>
      </c>
      <c r="P94" s="225">
        <v>-1</v>
      </c>
      <c r="Q94" s="188"/>
      <c r="R94" s="223"/>
    </row>
    <row r="95" spans="1:18">
      <c r="A95" s="266" t="s">
        <v>240</v>
      </c>
      <c r="B95" s="266"/>
      <c r="C95" s="266"/>
      <c r="D95" s="266"/>
      <c r="E95" s="220">
        <v>19890</v>
      </c>
      <c r="F95" s="220">
        <v>18620</v>
      </c>
      <c r="G95" s="220">
        <v>20530</v>
      </c>
      <c r="H95" s="220">
        <v>30570</v>
      </c>
      <c r="I95" s="220">
        <v>28200</v>
      </c>
      <c r="J95" s="220">
        <v>24980</v>
      </c>
      <c r="K95" s="220">
        <v>43868.832999999999</v>
      </c>
      <c r="L95" s="220">
        <v>44937.933000000005</v>
      </c>
      <c r="M95" s="335">
        <v>46444</v>
      </c>
      <c r="N95" s="335">
        <v>41624.5</v>
      </c>
      <c r="O95" s="335">
        <v>57775</v>
      </c>
      <c r="P95" s="220">
        <v>46930.053200000002</v>
      </c>
      <c r="Q95" s="188"/>
      <c r="R95" s="193"/>
    </row>
    <row r="96" spans="1:18" ht="13.25" thickBot="1">
      <c r="A96" s="321" t="s">
        <v>212</v>
      </c>
      <c r="B96" s="224"/>
      <c r="C96" s="112"/>
      <c r="D96" s="313" t="s">
        <v>194</v>
      </c>
      <c r="E96" s="225">
        <v>1.6860790397233101E-2</v>
      </c>
      <c r="F96" s="225">
        <v>1.5125422407070445E-2</v>
      </c>
      <c r="G96" s="225">
        <v>1.4017192055331381E-2</v>
      </c>
      <c r="H96" s="225">
        <v>1.9477664719112577E-2</v>
      </c>
      <c r="I96" s="225">
        <v>1.7176583808937915E-2</v>
      </c>
      <c r="J96" s="225">
        <v>1.3027107648341104E-2</v>
      </c>
      <c r="K96" s="225">
        <v>2.0033470150281087E-2</v>
      </c>
      <c r="L96" s="225">
        <v>1.8361008057127672E-2</v>
      </c>
      <c r="M96" s="225">
        <v>1.7049385731458071E-2</v>
      </c>
      <c r="N96" s="225">
        <v>1.4243501035867134E-2</v>
      </c>
      <c r="O96" s="225">
        <v>1.6882355622620689E-2</v>
      </c>
      <c r="P96" s="225" t="s">
        <v>213</v>
      </c>
      <c r="Q96" s="188"/>
      <c r="R96" s="223"/>
    </row>
    <row r="97" spans="1:18">
      <c r="A97" s="224"/>
      <c r="B97" s="224"/>
      <c r="C97" s="224"/>
      <c r="D97" s="211"/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88"/>
      <c r="R97" s="267"/>
    </row>
    <row r="98" spans="1:18">
      <c r="A98" s="224"/>
      <c r="B98" s="224"/>
      <c r="C98" s="247"/>
      <c r="D98" s="150"/>
      <c r="E98" s="165"/>
      <c r="F98" s="165"/>
      <c r="G98" s="165"/>
      <c r="H98" s="165"/>
      <c r="I98" s="165"/>
      <c r="J98" s="165"/>
      <c r="K98" s="166">
        <v>1</v>
      </c>
      <c r="L98" s="166">
        <v>1</v>
      </c>
      <c r="M98" s="166">
        <v>1</v>
      </c>
      <c r="N98" s="166">
        <v>1</v>
      </c>
      <c r="O98" s="166">
        <v>1</v>
      </c>
      <c r="P98" s="166">
        <v>2</v>
      </c>
      <c r="Q98" s="263"/>
      <c r="R98" s="267"/>
    </row>
    <row r="99" spans="1:18">
      <c r="A99" s="224"/>
      <c r="B99" s="224"/>
      <c r="C99" s="252"/>
      <c r="D99" s="150"/>
      <c r="E99" s="150"/>
      <c r="F99" s="150"/>
      <c r="G99" s="150"/>
      <c r="H99" s="150"/>
      <c r="I99" s="150"/>
      <c r="J99" s="150"/>
      <c r="K99" s="151" t="s">
        <v>196</v>
      </c>
      <c r="L99" s="151"/>
      <c r="M99" s="151"/>
      <c r="N99" s="151"/>
      <c r="O99" s="151"/>
      <c r="P99" s="151"/>
      <c r="Q99" s="254"/>
      <c r="R99" s="267"/>
    </row>
    <row r="100" spans="1:18">
      <c r="A100" s="224"/>
      <c r="B100" s="224"/>
      <c r="C100" s="252"/>
      <c r="D100" s="124" t="s">
        <v>241</v>
      </c>
      <c r="E100" s="125"/>
      <c r="F100" s="125"/>
      <c r="G100" s="125"/>
      <c r="H100" s="125"/>
      <c r="I100" s="125"/>
      <c r="J100" s="125"/>
      <c r="K100" s="139">
        <v>43868.832999999999</v>
      </c>
      <c r="L100" s="139">
        <v>44937.933000000005</v>
      </c>
      <c r="M100" s="139">
        <v>46444</v>
      </c>
      <c r="N100" s="139">
        <v>41624.5</v>
      </c>
      <c r="O100" s="139">
        <v>57775</v>
      </c>
      <c r="P100" s="139" t="s">
        <v>213</v>
      </c>
      <c r="Q100" s="254"/>
      <c r="R100" s="267"/>
    </row>
    <row r="101" spans="1:18">
      <c r="A101" s="224"/>
      <c r="B101" s="224"/>
      <c r="C101" s="252"/>
      <c r="D101" s="124" t="s">
        <v>242</v>
      </c>
      <c r="E101" s="125"/>
      <c r="F101" s="125"/>
      <c r="G101" s="125"/>
      <c r="H101" s="125"/>
      <c r="I101" s="125"/>
      <c r="J101" s="125"/>
      <c r="K101" s="139">
        <v>24580</v>
      </c>
      <c r="L101" s="139">
        <v>29629.766599999995</v>
      </c>
      <c r="M101" s="139">
        <v>34511.353199999998</v>
      </c>
      <c r="N101" s="139">
        <v>37686.153200000001</v>
      </c>
      <c r="O101" s="139">
        <v>40371.053200000002</v>
      </c>
      <c r="P101" s="139">
        <v>46930.053200000002</v>
      </c>
      <c r="Q101" s="254"/>
      <c r="R101" s="267"/>
    </row>
    <row r="102" spans="1:18">
      <c r="A102" s="224"/>
      <c r="B102" s="224"/>
      <c r="C102" s="252"/>
      <c r="D102" s="124" t="s">
        <v>243</v>
      </c>
      <c r="E102" s="125"/>
      <c r="F102" s="125"/>
      <c r="G102" s="125"/>
      <c r="H102" s="125"/>
      <c r="I102" s="125"/>
      <c r="J102" s="125"/>
      <c r="K102" s="139">
        <v>24980</v>
      </c>
      <c r="L102" s="139">
        <v>43868.832999999999</v>
      </c>
      <c r="M102" s="139">
        <v>44937.933000000005</v>
      </c>
      <c r="N102" s="139">
        <v>46444</v>
      </c>
      <c r="O102" s="139">
        <v>41624.5</v>
      </c>
      <c r="P102" s="139">
        <v>57775</v>
      </c>
      <c r="Q102" s="254"/>
      <c r="R102" s="267"/>
    </row>
    <row r="103" spans="1:18">
      <c r="A103" s="224"/>
      <c r="B103" s="224"/>
      <c r="C103" s="252"/>
      <c r="D103" s="248"/>
      <c r="E103" s="248"/>
      <c r="F103" s="248"/>
      <c r="G103" s="248"/>
      <c r="H103" s="248"/>
      <c r="I103" s="248"/>
      <c r="J103" s="248"/>
      <c r="K103" s="248"/>
      <c r="L103" s="248"/>
      <c r="M103" s="248"/>
      <c r="N103" s="248"/>
      <c r="O103" s="248"/>
      <c r="P103" s="248"/>
      <c r="Q103" s="254"/>
      <c r="R103" s="267"/>
    </row>
    <row r="104" spans="1:18" ht="13.25" thickBot="1">
      <c r="A104" s="183" t="s">
        <v>202</v>
      </c>
      <c r="B104" s="224"/>
      <c r="C104" s="252"/>
      <c r="D104" s="124" t="s">
        <v>203</v>
      </c>
      <c r="E104" s="125"/>
      <c r="F104" s="125"/>
      <c r="G104" s="125"/>
      <c r="H104" s="125"/>
      <c r="I104" s="125"/>
      <c r="J104" s="125"/>
      <c r="K104" s="186" t="s">
        <v>232</v>
      </c>
      <c r="L104" s="186" t="s">
        <v>232</v>
      </c>
      <c r="M104" s="186" t="s">
        <v>232</v>
      </c>
      <c r="N104" s="186" t="s">
        <v>232</v>
      </c>
      <c r="O104" s="186" t="s">
        <v>232</v>
      </c>
      <c r="P104" s="186" t="s">
        <v>232</v>
      </c>
      <c r="Q104" s="254"/>
      <c r="R104" s="226"/>
    </row>
    <row r="105" spans="1:18">
      <c r="A105" s="224"/>
      <c r="B105" s="224"/>
      <c r="C105" s="252"/>
      <c r="D105" s="153"/>
      <c r="E105" s="153"/>
      <c r="F105" s="153"/>
      <c r="G105" s="153"/>
      <c r="H105" s="153"/>
      <c r="I105" s="153"/>
      <c r="J105" s="153"/>
      <c r="K105" s="255"/>
      <c r="L105" s="255"/>
      <c r="M105" s="255"/>
      <c r="N105" s="255"/>
      <c r="O105" s="255"/>
      <c r="P105" s="255"/>
      <c r="Q105" s="254"/>
      <c r="R105" s="226"/>
    </row>
    <row r="106" spans="1:18">
      <c r="A106" s="224"/>
      <c r="B106" s="224"/>
      <c r="C106" s="252"/>
      <c r="D106" s="155"/>
      <c r="E106" s="155"/>
      <c r="F106" s="155"/>
      <c r="G106" s="155"/>
      <c r="H106" s="156" t="s">
        <v>204</v>
      </c>
      <c r="I106" s="157" t="s">
        <v>205</v>
      </c>
      <c r="J106" s="157" t="s">
        <v>206</v>
      </c>
      <c r="K106" s="256"/>
      <c r="L106" s="256"/>
      <c r="M106" s="256"/>
      <c r="N106" s="256"/>
      <c r="O106" s="256"/>
      <c r="P106" s="256"/>
      <c r="Q106" s="254"/>
      <c r="R106" s="226"/>
    </row>
    <row r="107" spans="1:18">
      <c r="A107" s="224"/>
      <c r="B107" s="224"/>
      <c r="C107" s="252"/>
      <c r="D107" s="124" t="s">
        <v>244</v>
      </c>
      <c r="E107" s="125"/>
      <c r="F107" s="125"/>
      <c r="G107" s="125"/>
      <c r="H107" s="125"/>
      <c r="I107" s="160">
        <v>-0.05</v>
      </c>
      <c r="J107" s="161">
        <v>0.05</v>
      </c>
      <c r="K107" s="140">
        <v>7.006362501939983E-3</v>
      </c>
      <c r="L107" s="140">
        <v>-1.6724620931534151E-3</v>
      </c>
      <c r="M107" s="140">
        <v>-1.3116223256696008E-3</v>
      </c>
      <c r="N107" s="140">
        <v>-2.8058846955909371E-3</v>
      </c>
      <c r="O107" s="140">
        <v>2.638854586753555E-3</v>
      </c>
      <c r="P107" s="140" t="s">
        <v>245</v>
      </c>
      <c r="Q107" s="254"/>
      <c r="R107" s="226"/>
    </row>
    <row r="108" spans="1:18">
      <c r="A108" s="224"/>
      <c r="B108" s="224"/>
      <c r="C108" s="252"/>
      <c r="D108" s="124" t="s">
        <v>246</v>
      </c>
      <c r="E108" s="125"/>
      <c r="F108" s="125"/>
      <c r="G108" s="125"/>
      <c r="H108" s="125"/>
      <c r="I108" s="163">
        <v>0.8</v>
      </c>
      <c r="J108" s="164">
        <v>1.25</v>
      </c>
      <c r="K108" s="349">
        <v>0.90681433822358015</v>
      </c>
      <c r="L108" s="349">
        <v>0.86417837219497073</v>
      </c>
      <c r="M108" s="337">
        <v>0.79298554402944599</v>
      </c>
      <c r="N108" s="337">
        <v>0.77376869373731816</v>
      </c>
      <c r="O108" s="349">
        <v>1.1176561623430639</v>
      </c>
      <c r="P108" s="349" t="s">
        <v>245</v>
      </c>
      <c r="Q108" s="254"/>
      <c r="R108" s="226"/>
    </row>
    <row r="109" spans="1:18">
      <c r="A109" s="224"/>
      <c r="B109" s="224"/>
      <c r="C109" s="252"/>
      <c r="D109" s="124" t="s">
        <v>247</v>
      </c>
      <c r="E109" s="125"/>
      <c r="F109" s="125"/>
      <c r="G109" s="125"/>
      <c r="H109" s="125"/>
      <c r="I109" s="162">
        <v>3</v>
      </c>
      <c r="J109" s="149"/>
      <c r="K109" s="129">
        <v>30</v>
      </c>
      <c r="L109" s="129">
        <v>30</v>
      </c>
      <c r="M109" s="129">
        <v>11</v>
      </c>
      <c r="N109" s="336">
        <v>2</v>
      </c>
      <c r="O109" s="336">
        <v>1</v>
      </c>
      <c r="P109" s="129">
        <v>0</v>
      </c>
      <c r="Q109" s="254"/>
      <c r="R109" s="226"/>
    </row>
    <row r="110" spans="1:18" ht="13.25" thickBot="1">
      <c r="A110" s="224"/>
      <c r="B110" s="224"/>
      <c r="C110" s="268"/>
      <c r="D110" s="269"/>
      <c r="E110" s="270"/>
      <c r="F110" s="270"/>
      <c r="G110" s="270"/>
      <c r="H110" s="270"/>
      <c r="I110" s="270"/>
      <c r="J110" s="270"/>
      <c r="K110" s="270"/>
      <c r="L110" s="270"/>
      <c r="M110" s="270"/>
      <c r="N110" s="270"/>
      <c r="O110" s="270"/>
      <c r="P110" s="270"/>
      <c r="Q110" s="259"/>
      <c r="R110" s="223"/>
    </row>
    <row r="111" spans="1:18">
      <c r="A111" s="224"/>
      <c r="B111" s="224"/>
      <c r="C111" s="241"/>
      <c r="D111" s="241"/>
      <c r="E111" s="271"/>
      <c r="F111" s="271"/>
      <c r="G111" s="271"/>
      <c r="H111" s="271"/>
      <c r="I111" s="271"/>
      <c r="J111" s="271"/>
      <c r="K111" s="271"/>
      <c r="L111" s="271"/>
      <c r="M111" s="271"/>
      <c r="N111" s="271"/>
      <c r="O111" s="271"/>
      <c r="P111" s="271"/>
      <c r="Q111" s="260"/>
      <c r="R111" s="223"/>
    </row>
    <row r="112" spans="1:18">
      <c r="A112" s="321" t="s">
        <v>193</v>
      </c>
      <c r="B112" s="224"/>
      <c r="C112" s="224"/>
      <c r="D112" s="224"/>
      <c r="E112" s="225"/>
      <c r="F112" s="225">
        <v>-6.3851181498240317E-2</v>
      </c>
      <c r="G112" s="225">
        <v>0.10257787325456502</v>
      </c>
      <c r="H112" s="225">
        <v>0.48904042864101305</v>
      </c>
      <c r="I112" s="225">
        <v>-7.7526987242394485E-2</v>
      </c>
      <c r="J112" s="225">
        <v>-0.11418439716312057</v>
      </c>
      <c r="K112" s="225">
        <v>0.75615824659727782</v>
      </c>
      <c r="L112" s="225">
        <v>2.4370377028265278E-2</v>
      </c>
      <c r="M112" s="225">
        <v>3.3514380823879808E-2</v>
      </c>
      <c r="N112" s="225">
        <v>-0.10377013177159589</v>
      </c>
      <c r="O112" s="225">
        <v>0.38800466071664519</v>
      </c>
      <c r="P112" s="225">
        <v>-0.18771002682821281</v>
      </c>
      <c r="Q112" s="188"/>
      <c r="R112" s="223"/>
    </row>
    <row r="113" spans="1:18">
      <c r="A113" s="262" t="s">
        <v>248</v>
      </c>
      <c r="B113" s="262"/>
      <c r="C113" s="262"/>
      <c r="D113" s="262"/>
      <c r="E113" s="220">
        <v>13790</v>
      </c>
      <c r="F113" s="220">
        <v>5840</v>
      </c>
      <c r="G113" s="220">
        <v>73790</v>
      </c>
      <c r="H113" s="220">
        <v>5360</v>
      </c>
      <c r="I113" s="220">
        <v>-7210</v>
      </c>
      <c r="J113" s="220">
        <v>-89850</v>
      </c>
      <c r="K113" s="220">
        <v>3193.5232108992441</v>
      </c>
      <c r="L113" s="220">
        <v>1961.0626212790417</v>
      </c>
      <c r="M113" s="220">
        <v>-24829.366168654913</v>
      </c>
      <c r="N113" s="220">
        <v>-33959.827304913502</v>
      </c>
      <c r="O113" s="220">
        <v>-44716.499819627854</v>
      </c>
      <c r="P113" s="220">
        <v>0</v>
      </c>
      <c r="Q113" s="188"/>
      <c r="R113" s="193"/>
    </row>
    <row r="114" spans="1:18" ht="13.25" thickBot="1">
      <c r="A114" s="321" t="s">
        <v>212</v>
      </c>
      <c r="B114" s="224"/>
      <c r="C114" s="112"/>
      <c r="D114" s="313" t="s">
        <v>194</v>
      </c>
      <c r="E114" s="225">
        <v>1.1689808927996202E-2</v>
      </c>
      <c r="F114" s="225">
        <v>4.743956329607486E-3</v>
      </c>
      <c r="G114" s="225">
        <v>5.0381324976273872E-2</v>
      </c>
      <c r="H114" s="225">
        <v>3.4151221097299123E-3</v>
      </c>
      <c r="I114" s="225">
        <v>-4.3916017468951197E-3</v>
      </c>
      <c r="J114" s="225">
        <v>-4.6856910416471102E-2</v>
      </c>
      <c r="K114" s="225">
        <v>1.4583782504490107E-3</v>
      </c>
      <c r="L114" s="225">
        <v>8.0126263461731515E-4</v>
      </c>
      <c r="M114" s="225">
        <v>-9.1147498337139955E-3</v>
      </c>
      <c r="N114" s="225">
        <v>-1.1620724222402779E-2</v>
      </c>
      <c r="O114" s="225">
        <v>-1.3066548717504308E-2</v>
      </c>
      <c r="P114" s="225">
        <v>-6.3084763777109514E-3</v>
      </c>
      <c r="Q114" s="188"/>
      <c r="R114" s="223"/>
    </row>
    <row r="115" spans="1:18">
      <c r="A115" s="224"/>
      <c r="B115" s="224"/>
      <c r="C115" s="224"/>
      <c r="D115" s="211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88"/>
      <c r="R115" s="226"/>
    </row>
    <row r="116" spans="1:18">
      <c r="A116" s="224"/>
      <c r="B116" s="224"/>
      <c r="C116" s="247"/>
      <c r="D116" s="150"/>
      <c r="E116" s="165"/>
      <c r="F116" s="165"/>
      <c r="G116" s="165"/>
      <c r="H116" s="165"/>
      <c r="I116" s="165"/>
      <c r="J116" s="165"/>
      <c r="K116" s="166">
        <v>1</v>
      </c>
      <c r="L116" s="166">
        <v>1</v>
      </c>
      <c r="M116" s="166">
        <v>1</v>
      </c>
      <c r="N116" s="166">
        <v>1</v>
      </c>
      <c r="O116" s="166">
        <v>1</v>
      </c>
      <c r="P116" s="166">
        <v>1</v>
      </c>
      <c r="Q116" s="263"/>
      <c r="R116" s="226"/>
    </row>
    <row r="117" spans="1:18">
      <c r="A117" s="224"/>
      <c r="B117" s="224"/>
      <c r="C117" s="252"/>
      <c r="D117" s="150"/>
      <c r="E117" s="150"/>
      <c r="F117" s="150"/>
      <c r="G117" s="150"/>
      <c r="H117" s="150"/>
      <c r="I117" s="150"/>
      <c r="J117" s="150"/>
      <c r="K117" s="151" t="s">
        <v>196</v>
      </c>
      <c r="L117" s="151"/>
      <c r="M117" s="151"/>
      <c r="N117" s="151"/>
      <c r="O117" s="151"/>
      <c r="P117" s="151"/>
      <c r="Q117" s="254"/>
      <c r="R117" s="226"/>
    </row>
    <row r="118" spans="1:18">
      <c r="A118" s="224"/>
      <c r="B118" s="224"/>
      <c r="C118" s="252"/>
      <c r="D118" s="124" t="s">
        <v>249</v>
      </c>
      <c r="E118" s="125"/>
      <c r="F118" s="125"/>
      <c r="G118" s="125"/>
      <c r="H118" s="125"/>
      <c r="I118" s="125"/>
      <c r="J118" s="125"/>
      <c r="K118" s="136">
        <v>1.4583782504490107E-3</v>
      </c>
      <c r="L118" s="136">
        <v>8.0126263461731515E-4</v>
      </c>
      <c r="M118" s="136">
        <v>-9.1147498337139955E-3</v>
      </c>
      <c r="N118" s="136">
        <v>-1.1620724222402779E-2</v>
      </c>
      <c r="O118" s="136">
        <v>-1.3066548717504308E-2</v>
      </c>
      <c r="P118" s="136">
        <v>-6.3084763777109514E-3</v>
      </c>
      <c r="Q118" s="254"/>
      <c r="R118" s="226"/>
    </row>
    <row r="119" spans="1:18">
      <c r="A119" s="224"/>
      <c r="B119" s="224"/>
      <c r="C119" s="252"/>
      <c r="D119" s="248"/>
      <c r="E119" s="248"/>
      <c r="F119" s="248"/>
      <c r="G119" s="248"/>
      <c r="H119" s="248"/>
      <c r="I119" s="248"/>
      <c r="J119" s="248"/>
      <c r="K119" s="248"/>
      <c r="L119" s="248"/>
      <c r="M119" s="248"/>
      <c r="N119" s="248"/>
      <c r="O119" s="248"/>
      <c r="P119" s="248"/>
      <c r="Q119" s="254"/>
      <c r="R119" s="226"/>
    </row>
    <row r="120" spans="1:18" ht="13.25" thickBot="1">
      <c r="A120" s="183" t="s">
        <v>218</v>
      </c>
      <c r="B120" s="224"/>
      <c r="C120" s="252"/>
      <c r="D120" s="124" t="s">
        <v>219</v>
      </c>
      <c r="E120" s="125"/>
      <c r="F120" s="125"/>
      <c r="G120" s="125"/>
      <c r="H120" s="125"/>
      <c r="I120" s="125"/>
      <c r="J120" s="125"/>
      <c r="K120" s="331" t="s">
        <v>232</v>
      </c>
      <c r="L120" s="331" t="s">
        <v>232</v>
      </c>
      <c r="M120" s="186" t="s">
        <v>232</v>
      </c>
      <c r="N120" s="186" t="s">
        <v>232</v>
      </c>
      <c r="O120" s="186" t="s">
        <v>232</v>
      </c>
      <c r="P120" s="186" t="s">
        <v>232</v>
      </c>
      <c r="Q120" s="254"/>
      <c r="R120" s="226"/>
    </row>
    <row r="121" spans="1:18">
      <c r="A121" s="224"/>
      <c r="B121" s="224"/>
      <c r="C121" s="252"/>
      <c r="D121" s="153"/>
      <c r="E121" s="153"/>
      <c r="F121" s="153"/>
      <c r="G121" s="153"/>
      <c r="H121" s="153"/>
      <c r="I121" s="153"/>
      <c r="J121" s="153"/>
      <c r="K121" s="255"/>
      <c r="L121" s="255"/>
      <c r="M121" s="255"/>
      <c r="N121" s="255"/>
      <c r="O121" s="255"/>
      <c r="P121" s="255"/>
      <c r="Q121" s="254"/>
      <c r="R121" s="226"/>
    </row>
    <row r="122" spans="1:18">
      <c r="A122" s="224"/>
      <c r="B122" s="224"/>
      <c r="C122" s="252"/>
      <c r="D122" s="155"/>
      <c r="E122" s="155"/>
      <c r="F122" s="155"/>
      <c r="G122" s="155"/>
      <c r="H122" s="156" t="s">
        <v>204</v>
      </c>
      <c r="I122" s="157" t="s">
        <v>205</v>
      </c>
      <c r="J122" s="157" t="s">
        <v>206</v>
      </c>
      <c r="K122" s="256"/>
      <c r="L122" s="256"/>
      <c r="M122" s="256"/>
      <c r="N122" s="256"/>
      <c r="O122" s="256"/>
      <c r="P122" s="256"/>
      <c r="Q122" s="254"/>
      <c r="R122" s="226"/>
    </row>
    <row r="123" spans="1:18">
      <c r="A123" s="224"/>
      <c r="B123" s="224"/>
      <c r="C123" s="252"/>
      <c r="D123" s="124" t="s">
        <v>250</v>
      </c>
      <c r="E123" s="125"/>
      <c r="F123" s="125"/>
      <c r="G123" s="125"/>
      <c r="H123" s="125"/>
      <c r="I123" s="160">
        <v>-0.05</v>
      </c>
      <c r="J123" s="161">
        <v>0.05</v>
      </c>
      <c r="K123" s="131">
        <v>4.8315288666920114E-2</v>
      </c>
      <c r="L123" s="131">
        <v>-6.5711561583169553E-4</v>
      </c>
      <c r="M123" s="131">
        <v>-9.9160124683313113E-3</v>
      </c>
      <c r="N123" s="131">
        <v>-2.5059743886887836E-3</v>
      </c>
      <c r="O123" s="131">
        <v>-1.4458244951015293E-3</v>
      </c>
      <c r="P123" s="131">
        <v>6.758072339793357E-3</v>
      </c>
      <c r="Q123" s="254"/>
      <c r="R123" s="226"/>
    </row>
    <row r="124" spans="1:18" ht="13.25" thickBot="1">
      <c r="A124" s="272"/>
      <c r="B124" s="272"/>
      <c r="C124" s="273"/>
      <c r="D124" s="274"/>
      <c r="E124" s="275"/>
      <c r="F124" s="275"/>
      <c r="G124" s="275"/>
      <c r="H124" s="275"/>
      <c r="I124" s="275"/>
      <c r="J124" s="275"/>
      <c r="K124" s="275"/>
      <c r="L124" s="275"/>
      <c r="M124" s="275"/>
      <c r="N124" s="275"/>
      <c r="O124" s="275"/>
      <c r="P124" s="275"/>
      <c r="Q124" s="259"/>
      <c r="R124" s="193"/>
    </row>
    <row r="125" spans="1:18">
      <c r="A125" s="272"/>
      <c r="B125" s="272"/>
      <c r="C125" s="276"/>
      <c r="D125" s="276"/>
      <c r="E125" s="260"/>
      <c r="F125" s="277"/>
      <c r="G125" s="260"/>
      <c r="H125" s="260"/>
      <c r="I125" s="260"/>
      <c r="J125" s="260"/>
      <c r="K125" s="260"/>
      <c r="L125" s="260"/>
      <c r="M125" s="260"/>
      <c r="N125" s="260"/>
      <c r="O125" s="260"/>
      <c r="P125" s="260"/>
      <c r="Q125" s="260"/>
      <c r="R125" s="193"/>
    </row>
    <row r="126" spans="1:18">
      <c r="A126" s="262" t="s">
        <v>251</v>
      </c>
      <c r="B126" s="278"/>
      <c r="C126" s="278"/>
      <c r="D126" s="278"/>
      <c r="E126" s="220">
        <v>1910</v>
      </c>
      <c r="F126" s="220">
        <v>-3670</v>
      </c>
      <c r="G126" s="220">
        <v>6630</v>
      </c>
      <c r="H126" s="220">
        <v>-4590</v>
      </c>
      <c r="I126" s="220">
        <v>-10870</v>
      </c>
      <c r="J126" s="220">
        <v>460</v>
      </c>
      <c r="K126" s="279">
        <v>-3398.5373967907412</v>
      </c>
      <c r="L126" s="279">
        <v>-3098.8780976901235</v>
      </c>
      <c r="M126" s="279">
        <v>-6605.1952143587487</v>
      </c>
      <c r="N126" s="279">
        <v>-6793.8273037907684</v>
      </c>
      <c r="O126" s="279">
        <v>-5015.4492466439297</v>
      </c>
      <c r="P126" s="279">
        <v>0</v>
      </c>
      <c r="Q126" s="188"/>
      <c r="R126" s="193"/>
    </row>
    <row r="127" spans="1:18" ht="13.25" thickBot="1">
      <c r="A127" s="321" t="s">
        <v>212</v>
      </c>
      <c r="B127" s="224"/>
      <c r="C127" s="112"/>
      <c r="D127" s="313" t="s">
        <v>194</v>
      </c>
      <c r="E127" s="225">
        <v>1.6191105911872912E-3</v>
      </c>
      <c r="F127" s="225">
        <v>-2.9812191317910059E-3</v>
      </c>
      <c r="G127" s="225">
        <v>4.5267405419798859E-3</v>
      </c>
      <c r="H127" s="225">
        <v>-2.9245168812799061E-3</v>
      </c>
      <c r="I127" s="225">
        <v>-6.6209030497572739E-3</v>
      </c>
      <c r="J127" s="225">
        <v>2.3989069328410358E-4</v>
      </c>
      <c r="K127" s="225">
        <v>-1.5520015655128394E-3</v>
      </c>
      <c r="L127" s="225">
        <v>-1.266158052257206E-3</v>
      </c>
      <c r="M127" s="225">
        <v>-2.4247377711046243E-3</v>
      </c>
      <c r="N127" s="225">
        <v>-2.3247819490695679E-3</v>
      </c>
      <c r="O127" s="225">
        <v>-1.4655577289320269E-3</v>
      </c>
      <c r="P127" s="225">
        <v>-1.8066474133752528E-3</v>
      </c>
      <c r="Q127" s="188"/>
      <c r="R127" s="193"/>
    </row>
    <row r="128" spans="1:18">
      <c r="A128" s="224"/>
      <c r="B128" s="224"/>
      <c r="C128" s="224"/>
      <c r="D128" s="211"/>
      <c r="E128" s="280"/>
      <c r="F128" s="280"/>
      <c r="G128" s="280"/>
      <c r="H128" s="113"/>
      <c r="I128" s="113"/>
      <c r="J128" s="113"/>
      <c r="K128" s="113"/>
      <c r="L128" s="113"/>
      <c r="M128" s="113"/>
      <c r="N128" s="113"/>
      <c r="O128" s="113"/>
      <c r="P128" s="113"/>
      <c r="Q128" s="188"/>
      <c r="R128" s="226"/>
    </row>
    <row r="129" spans="1:18">
      <c r="A129" s="224"/>
      <c r="B129" s="224"/>
      <c r="C129" s="247"/>
      <c r="D129" s="281"/>
      <c r="E129" s="282"/>
      <c r="F129" s="282"/>
      <c r="G129" s="282"/>
      <c r="H129" s="165"/>
      <c r="I129" s="165"/>
      <c r="J129" s="165"/>
      <c r="K129" s="166">
        <v>1</v>
      </c>
      <c r="L129" s="166">
        <v>1</v>
      </c>
      <c r="M129" s="166">
        <v>1</v>
      </c>
      <c r="N129" s="166">
        <v>1</v>
      </c>
      <c r="O129" s="166">
        <v>1</v>
      </c>
      <c r="P129" s="166">
        <v>1</v>
      </c>
      <c r="Q129" s="263"/>
      <c r="R129" s="226"/>
    </row>
    <row r="130" spans="1:18">
      <c r="A130" s="224"/>
      <c r="B130" s="224"/>
      <c r="C130" s="252"/>
      <c r="D130" s="150"/>
      <c r="E130" s="150"/>
      <c r="F130" s="150"/>
      <c r="G130" s="150"/>
      <c r="H130" s="150"/>
      <c r="I130" s="150"/>
      <c r="J130" s="150"/>
      <c r="K130" s="151" t="s">
        <v>196</v>
      </c>
      <c r="L130" s="151"/>
      <c r="M130" s="151"/>
      <c r="N130" s="151"/>
      <c r="O130" s="151"/>
      <c r="P130" s="151"/>
      <c r="Q130" s="254"/>
      <c r="R130" s="226"/>
    </row>
    <row r="131" spans="1:18">
      <c r="A131" s="224"/>
      <c r="B131" s="224"/>
      <c r="C131" s="252"/>
      <c r="D131" s="124" t="s">
        <v>249</v>
      </c>
      <c r="E131" s="125"/>
      <c r="F131" s="125"/>
      <c r="G131" s="125"/>
      <c r="H131" s="125"/>
      <c r="I131" s="125"/>
      <c r="J131" s="125"/>
      <c r="K131" s="136">
        <v>-1.5520015655128394E-3</v>
      </c>
      <c r="L131" s="136">
        <v>-1.266158052257206E-3</v>
      </c>
      <c r="M131" s="136">
        <v>-2.4247377711046243E-3</v>
      </c>
      <c r="N131" s="136">
        <v>-2.3247819490695679E-3</v>
      </c>
      <c r="O131" s="136">
        <v>-1.4655577289320269E-3</v>
      </c>
      <c r="P131" s="136">
        <v>-1.8066474133752528E-3</v>
      </c>
      <c r="Q131" s="254"/>
      <c r="R131" s="226"/>
    </row>
    <row r="132" spans="1:18">
      <c r="A132" s="224"/>
      <c r="B132" s="224"/>
      <c r="C132" s="252"/>
      <c r="D132" s="248"/>
      <c r="E132" s="248"/>
      <c r="F132" s="248"/>
      <c r="G132" s="248"/>
      <c r="H132" s="248"/>
      <c r="I132" s="248"/>
      <c r="J132" s="248"/>
      <c r="K132" s="248"/>
      <c r="L132" s="248"/>
      <c r="M132" s="248"/>
      <c r="N132" s="248"/>
      <c r="O132" s="248"/>
      <c r="P132" s="248"/>
      <c r="Q132" s="254"/>
      <c r="R132" s="226"/>
    </row>
    <row r="133" spans="1:18" ht="13.25" thickBot="1">
      <c r="A133" s="183" t="s">
        <v>202</v>
      </c>
      <c r="B133" s="224"/>
      <c r="C133" s="252"/>
      <c r="D133" s="124" t="s">
        <v>219</v>
      </c>
      <c r="E133" s="125"/>
      <c r="F133" s="125"/>
      <c r="G133" s="125"/>
      <c r="H133" s="125"/>
      <c r="I133" s="125"/>
      <c r="J133" s="125"/>
      <c r="K133" s="331">
        <v>0</v>
      </c>
      <c r="L133" s="331">
        <v>0</v>
      </c>
      <c r="M133" s="331">
        <v>0</v>
      </c>
      <c r="N133" s="331">
        <v>0</v>
      </c>
      <c r="O133" s="331">
        <v>0</v>
      </c>
      <c r="P133" s="331">
        <v>0</v>
      </c>
      <c r="Q133" s="254"/>
      <c r="R133" s="226"/>
    </row>
    <row r="134" spans="1:18">
      <c r="A134" s="224"/>
      <c r="B134" s="224"/>
      <c r="C134" s="252"/>
      <c r="D134" s="153"/>
      <c r="E134" s="153"/>
      <c r="F134" s="153"/>
      <c r="G134" s="153"/>
      <c r="H134" s="153"/>
      <c r="I134" s="153"/>
      <c r="J134" s="153"/>
      <c r="K134" s="255"/>
      <c r="L134" s="255"/>
      <c r="M134" s="255"/>
      <c r="N134" s="255"/>
      <c r="O134" s="255"/>
      <c r="P134" s="255"/>
      <c r="Q134" s="254"/>
      <c r="R134" s="226"/>
    </row>
    <row r="135" spans="1:18">
      <c r="A135" s="224"/>
      <c r="B135" s="224"/>
      <c r="C135" s="252"/>
      <c r="D135" s="155"/>
      <c r="E135" s="155"/>
      <c r="F135" s="155"/>
      <c r="G135" s="155"/>
      <c r="H135" s="156" t="s">
        <v>204</v>
      </c>
      <c r="I135" s="157" t="s">
        <v>205</v>
      </c>
      <c r="J135" s="157" t="s">
        <v>206</v>
      </c>
      <c r="K135" s="256"/>
      <c r="L135" s="256"/>
      <c r="M135" s="256"/>
      <c r="N135" s="256"/>
      <c r="O135" s="256"/>
      <c r="P135" s="256"/>
      <c r="Q135" s="254"/>
      <c r="R135" s="226"/>
    </row>
    <row r="136" spans="1:18">
      <c r="A136" s="224"/>
      <c r="B136" s="224"/>
      <c r="C136" s="252"/>
      <c r="D136" s="124" t="s">
        <v>252</v>
      </c>
      <c r="E136" s="125"/>
      <c r="F136" s="125"/>
      <c r="G136" s="125"/>
      <c r="H136" s="125"/>
      <c r="I136" s="160">
        <v>-0.05</v>
      </c>
      <c r="J136" s="161">
        <v>0.05</v>
      </c>
      <c r="K136" s="131">
        <v>-1.7918922587969429E-3</v>
      </c>
      <c r="L136" s="131">
        <v>2.8584351325563334E-4</v>
      </c>
      <c r="M136" s="131">
        <v>-1.1585797188474183E-3</v>
      </c>
      <c r="N136" s="131">
        <v>9.995582203505644E-5</v>
      </c>
      <c r="O136" s="131">
        <v>8.5922422013754102E-4</v>
      </c>
      <c r="P136" s="131">
        <v>-3.4108968444322599E-4</v>
      </c>
      <c r="Q136" s="254"/>
      <c r="R136" s="226"/>
    </row>
    <row r="137" spans="1:18" ht="13.25" thickBot="1">
      <c r="A137" s="272"/>
      <c r="B137" s="272"/>
      <c r="C137" s="283"/>
      <c r="D137" s="284"/>
      <c r="E137" s="285"/>
      <c r="F137" s="285"/>
      <c r="G137" s="285"/>
      <c r="H137" s="285"/>
      <c r="I137" s="285"/>
      <c r="J137" s="285"/>
      <c r="K137" s="285"/>
      <c r="L137" s="285"/>
      <c r="M137" s="285"/>
      <c r="N137" s="285"/>
      <c r="O137" s="285"/>
      <c r="P137" s="285"/>
      <c r="Q137" s="259"/>
      <c r="R137" s="193"/>
    </row>
    <row r="138" spans="1:18">
      <c r="A138" s="272"/>
      <c r="B138" s="272"/>
      <c r="C138" s="276"/>
      <c r="D138" s="276"/>
      <c r="E138" s="260"/>
      <c r="F138" s="260"/>
      <c r="G138" s="260"/>
      <c r="H138" s="260"/>
      <c r="I138" s="260"/>
      <c r="J138" s="260"/>
      <c r="K138" s="260"/>
      <c r="L138" s="260"/>
      <c r="M138" s="260"/>
      <c r="N138" s="260"/>
      <c r="O138" s="260"/>
      <c r="P138" s="260"/>
      <c r="Q138" s="260"/>
      <c r="R138" s="193"/>
    </row>
    <row r="139" spans="1:18">
      <c r="A139" s="262" t="s">
        <v>253</v>
      </c>
      <c r="B139" s="278"/>
      <c r="C139" s="278"/>
      <c r="D139" s="278"/>
      <c r="E139" s="220"/>
      <c r="F139" s="220"/>
      <c r="G139" s="220"/>
      <c r="H139" s="220"/>
      <c r="I139" s="220"/>
      <c r="J139" s="220"/>
      <c r="K139" s="220">
        <v>0</v>
      </c>
      <c r="L139" s="220">
        <v>0</v>
      </c>
      <c r="M139" s="220">
        <v>0</v>
      </c>
      <c r="N139" s="220">
        <v>0</v>
      </c>
      <c r="O139" s="220">
        <v>0</v>
      </c>
      <c r="P139" s="220">
        <v>0</v>
      </c>
      <c r="Q139" s="188"/>
      <c r="R139" s="193"/>
    </row>
    <row r="140" spans="1:18" ht="13.25" thickBot="1">
      <c r="A140" s="322" t="s">
        <v>212</v>
      </c>
      <c r="B140" s="261"/>
      <c r="C140" s="137"/>
      <c r="D140" s="313" t="s">
        <v>194</v>
      </c>
      <c r="E140" s="261"/>
      <c r="F140" s="261"/>
      <c r="G140" s="261"/>
      <c r="H140" s="261"/>
      <c r="I140" s="261"/>
      <c r="J140" s="261"/>
      <c r="K140" s="221">
        <v>0</v>
      </c>
      <c r="L140" s="221">
        <v>0</v>
      </c>
      <c r="M140" s="221">
        <v>0</v>
      </c>
      <c r="N140" s="221">
        <v>0</v>
      </c>
      <c r="O140" s="221">
        <v>0</v>
      </c>
      <c r="P140" s="221" t="s">
        <v>213</v>
      </c>
      <c r="Q140" s="261"/>
      <c r="R140" s="193"/>
    </row>
    <row r="141" spans="1:18">
      <c r="A141" s="224"/>
      <c r="B141" s="224"/>
      <c r="C141" s="224"/>
      <c r="D141" s="211"/>
      <c r="E141" s="224"/>
      <c r="F141" s="224"/>
      <c r="G141" s="224"/>
      <c r="H141" s="224"/>
      <c r="I141" s="224"/>
      <c r="J141" s="224"/>
      <c r="K141" s="225"/>
      <c r="L141" s="225"/>
      <c r="M141" s="225"/>
      <c r="N141" s="225"/>
      <c r="O141" s="225"/>
      <c r="P141" s="225"/>
      <c r="Q141" s="224"/>
      <c r="R141" s="193"/>
    </row>
    <row r="142" spans="1:18">
      <c r="A142" s="224"/>
      <c r="B142" s="224"/>
      <c r="C142" s="247"/>
      <c r="D142" s="151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263"/>
      <c r="R142" s="226"/>
    </row>
    <row r="143" spans="1:18">
      <c r="A143" s="224"/>
      <c r="B143" s="224"/>
      <c r="C143" s="252"/>
      <c r="D143" s="124" t="s">
        <v>203</v>
      </c>
      <c r="E143" s="125"/>
      <c r="F143" s="125"/>
      <c r="G143" s="125"/>
      <c r="H143" s="125"/>
      <c r="I143" s="125"/>
      <c r="J143" s="125"/>
      <c r="K143" s="286">
        <v>0</v>
      </c>
      <c r="L143" s="286">
        <v>0</v>
      </c>
      <c r="M143" s="286">
        <v>0</v>
      </c>
      <c r="N143" s="286">
        <v>0</v>
      </c>
      <c r="O143" s="286">
        <v>0</v>
      </c>
      <c r="P143" s="286">
        <v>0</v>
      </c>
      <c r="Q143" s="254"/>
      <c r="R143" s="226"/>
    </row>
    <row r="144" spans="1:18" ht="13.25" thickBot="1">
      <c r="A144" s="224"/>
      <c r="B144" s="224"/>
      <c r="C144" s="268"/>
      <c r="D144" s="167"/>
      <c r="E144" s="167"/>
      <c r="F144" s="167"/>
      <c r="G144" s="167"/>
      <c r="H144" s="167"/>
      <c r="I144" s="167"/>
      <c r="J144" s="167"/>
      <c r="K144" s="287"/>
      <c r="L144" s="287"/>
      <c r="M144" s="287"/>
      <c r="N144" s="287"/>
      <c r="O144" s="287"/>
      <c r="P144" s="287"/>
      <c r="Q144" s="259"/>
      <c r="R144" s="226"/>
    </row>
    <row r="145" spans="1:18">
      <c r="A145" s="224"/>
      <c r="B145" s="224"/>
      <c r="C145" s="288"/>
      <c r="D145" s="120"/>
      <c r="E145" s="120"/>
      <c r="F145" s="120"/>
      <c r="G145" s="120"/>
      <c r="H145" s="120"/>
      <c r="I145" s="120"/>
      <c r="J145" s="120"/>
      <c r="K145" s="289"/>
      <c r="L145" s="289"/>
      <c r="M145" s="289"/>
      <c r="N145" s="289"/>
      <c r="O145" s="289"/>
      <c r="P145" s="289"/>
      <c r="Q145" s="290"/>
      <c r="R145" s="226"/>
    </row>
    <row r="146" spans="1:18">
      <c r="A146" s="291" t="s">
        <v>254</v>
      </c>
      <c r="B146" s="291"/>
      <c r="C146" s="291"/>
      <c r="D146" s="291"/>
      <c r="E146" s="189">
        <v>211685</v>
      </c>
      <c r="F146" s="189">
        <v>214910</v>
      </c>
      <c r="G146" s="189">
        <v>207360</v>
      </c>
      <c r="H146" s="189">
        <v>283242</v>
      </c>
      <c r="I146" s="189">
        <v>317314</v>
      </c>
      <c r="J146" s="189">
        <v>463334</v>
      </c>
      <c r="K146" s="189">
        <v>429484.48447896569</v>
      </c>
      <c r="L146" s="189">
        <v>484244.04565885838</v>
      </c>
      <c r="M146" s="189">
        <v>545108.81193751225</v>
      </c>
      <c r="N146" s="189">
        <v>564071.18894716329</v>
      </c>
      <c r="O146" s="189">
        <v>668487.81992608972</v>
      </c>
      <c r="P146" s="189">
        <v>-46930.053200000002</v>
      </c>
      <c r="Q146" s="189">
        <v>619486.59573937126</v>
      </c>
      <c r="R146" s="193"/>
    </row>
    <row r="147" spans="1:18" ht="13.25" thickBot="1">
      <c r="A147" s="321" t="s">
        <v>215</v>
      </c>
      <c r="B147" s="292"/>
      <c r="C147" s="112"/>
      <c r="D147" s="313" t="s">
        <v>194</v>
      </c>
      <c r="E147" s="225">
        <v>0.17944577251072344</v>
      </c>
      <c r="F147" s="225">
        <v>0.17457596828697686</v>
      </c>
      <c r="G147" s="225">
        <v>0.14157841912291841</v>
      </c>
      <c r="H147" s="225">
        <v>0.18046754041121638</v>
      </c>
      <c r="I147" s="225">
        <v>0.1932755501684158</v>
      </c>
      <c r="J147" s="225">
        <v>0.24162937930890621</v>
      </c>
      <c r="K147" s="225">
        <v>0.19613160440849248</v>
      </c>
      <c r="L147" s="225">
        <v>0.19785531354898761</v>
      </c>
      <c r="M147" s="225">
        <v>0.2001070192132349</v>
      </c>
      <c r="N147" s="225">
        <v>0.19301970147561476</v>
      </c>
      <c r="O147" s="225">
        <v>0.19533793345534692</v>
      </c>
      <c r="P147" s="225" t="s">
        <v>213</v>
      </c>
      <c r="Q147" s="188"/>
      <c r="R147" s="223"/>
    </row>
    <row r="148" spans="1:18">
      <c r="A148" s="224"/>
      <c r="B148" s="292"/>
      <c r="C148" s="292"/>
      <c r="D148" s="211"/>
      <c r="E148" s="225"/>
      <c r="F148" s="225"/>
      <c r="G148" s="225"/>
      <c r="H148" s="225"/>
      <c r="I148" s="225"/>
      <c r="J148" s="225"/>
      <c r="K148" s="225"/>
      <c r="L148" s="225"/>
      <c r="M148" s="225"/>
      <c r="N148" s="225"/>
      <c r="O148" s="225"/>
      <c r="P148" s="225"/>
      <c r="Q148" s="188"/>
      <c r="R148" s="223"/>
    </row>
    <row r="149" spans="1:18">
      <c r="A149" s="224"/>
      <c r="B149" s="292"/>
      <c r="C149" s="293"/>
      <c r="D149" s="294"/>
      <c r="E149" s="249"/>
      <c r="F149" s="249"/>
      <c r="G149" s="249"/>
      <c r="H149" s="249"/>
      <c r="I149" s="249"/>
      <c r="J149" s="249"/>
      <c r="K149" s="249"/>
      <c r="L149" s="249"/>
      <c r="M149" s="249"/>
      <c r="N149" s="249"/>
      <c r="O149" s="249"/>
      <c r="P149" s="249"/>
      <c r="Q149" s="263"/>
      <c r="R149" s="223"/>
    </row>
    <row r="150" spans="1:18">
      <c r="A150" s="117"/>
      <c r="B150" s="117"/>
      <c r="C150" s="170"/>
      <c r="D150" s="294"/>
      <c r="E150" s="155"/>
      <c r="F150" s="155"/>
      <c r="G150" s="155"/>
      <c r="H150" s="156" t="s">
        <v>204</v>
      </c>
      <c r="I150" s="157" t="s">
        <v>205</v>
      </c>
      <c r="J150" s="157" t="s">
        <v>206</v>
      </c>
      <c r="K150" s="256"/>
      <c r="L150" s="256"/>
      <c r="M150" s="256"/>
      <c r="N150" s="256"/>
      <c r="O150" s="256"/>
      <c r="P150" s="256"/>
      <c r="Q150" s="168"/>
      <c r="R150" s="223"/>
    </row>
    <row r="151" spans="1:18">
      <c r="A151" s="117"/>
      <c r="B151" s="117"/>
      <c r="C151" s="170"/>
      <c r="D151" s="124" t="s">
        <v>255</v>
      </c>
      <c r="E151" s="125"/>
      <c r="F151" s="125"/>
      <c r="G151" s="125"/>
      <c r="H151" s="125"/>
      <c r="I151" s="160">
        <v>-0.05</v>
      </c>
      <c r="J151" s="161">
        <v>0.05</v>
      </c>
      <c r="K151" s="131">
        <v>-4.5497774900413734E-2</v>
      </c>
      <c r="L151" s="131">
        <v>1.7237091404951332E-3</v>
      </c>
      <c r="M151" s="131">
        <v>2.2517056642472888E-3</v>
      </c>
      <c r="N151" s="131">
        <v>-7.0873177376201413E-3</v>
      </c>
      <c r="O151" s="131">
        <v>2.3182319797321604E-3</v>
      </c>
      <c r="P151" s="131" t="e">
        <v>#VALUE!</v>
      </c>
      <c r="Q151" s="168"/>
      <c r="R151" s="223"/>
    </row>
    <row r="152" spans="1:18" ht="13.25" thickBot="1">
      <c r="A152" s="117"/>
      <c r="B152" s="117"/>
      <c r="C152" s="170"/>
      <c r="D152" s="152"/>
      <c r="E152" s="153"/>
      <c r="F152" s="153"/>
      <c r="G152" s="153"/>
      <c r="H152" s="153"/>
      <c r="I152" s="153"/>
      <c r="J152" s="153"/>
      <c r="K152" s="256"/>
      <c r="L152" s="256"/>
      <c r="M152" s="256"/>
      <c r="N152" s="256"/>
      <c r="O152" s="256"/>
      <c r="P152" s="256"/>
      <c r="Q152" s="169"/>
      <c r="R152" s="223"/>
    </row>
    <row r="153" spans="1:18">
      <c r="A153" s="117"/>
      <c r="B153" s="117"/>
      <c r="C153" s="134"/>
      <c r="D153" s="133"/>
      <c r="E153" s="134"/>
      <c r="F153" s="134"/>
      <c r="G153" s="134"/>
      <c r="H153" s="134"/>
      <c r="I153" s="134"/>
      <c r="J153" s="134"/>
      <c r="K153" s="264"/>
      <c r="L153" s="264"/>
      <c r="M153" s="264"/>
      <c r="N153" s="264"/>
      <c r="O153" s="264"/>
      <c r="P153" s="264"/>
      <c r="Q153" s="134"/>
      <c r="R153" s="223"/>
    </row>
    <row r="154" spans="1:18">
      <c r="A154" s="321" t="s">
        <v>193</v>
      </c>
      <c r="B154" s="292"/>
      <c r="C154" s="292"/>
      <c r="D154" s="292"/>
      <c r="E154" s="225"/>
      <c r="F154" s="225">
        <v>1.5234900914093963E-2</v>
      </c>
      <c r="G154" s="225">
        <v>-3.5130985063514975E-2</v>
      </c>
      <c r="H154" s="225">
        <v>0.36594328703703694</v>
      </c>
      <c r="I154" s="225">
        <v>0.12029289441537627</v>
      </c>
      <c r="J154" s="225">
        <v>0.46017509470114781</v>
      </c>
      <c r="K154" s="225">
        <v>-7.3056403201652187E-2</v>
      </c>
      <c r="L154" s="225">
        <v>0.12750067385164088</v>
      </c>
      <c r="M154" s="225">
        <v>0.12569027296110957</v>
      </c>
      <c r="N154" s="225">
        <v>3.4786407033582822E-2</v>
      </c>
      <c r="O154" s="225">
        <v>0.18511250534497203</v>
      </c>
      <c r="P154" s="225">
        <v>-1.0702033033379557</v>
      </c>
      <c r="Q154" s="188"/>
      <c r="R154" s="223"/>
    </row>
    <row r="155" spans="1:18" ht="13.85">
      <c r="A155" s="207"/>
      <c r="B155" s="295"/>
      <c r="C155" s="295"/>
      <c r="D155" s="295"/>
      <c r="E155" s="280"/>
      <c r="F155" s="280"/>
      <c r="G155" s="280"/>
      <c r="H155" s="280"/>
      <c r="I155" s="280"/>
      <c r="J155" s="280"/>
      <c r="K155" s="296"/>
      <c r="L155" s="297"/>
      <c r="M155" s="297"/>
      <c r="N155" s="297"/>
      <c r="O155" s="297"/>
      <c r="P155" s="297"/>
      <c r="Q155" s="297"/>
      <c r="R155" s="111"/>
    </row>
    <row r="156" spans="1:18" ht="13.85">
      <c r="A156" s="323" t="s">
        <v>256</v>
      </c>
      <c r="B156" s="272"/>
      <c r="C156" s="272"/>
      <c r="D156" s="272"/>
      <c r="E156" s="246"/>
      <c r="F156" s="246"/>
      <c r="G156" s="246"/>
      <c r="H156" s="246"/>
      <c r="I156" s="246"/>
      <c r="J156" s="246"/>
      <c r="K156" s="225">
        <v>0.93150684931506844</v>
      </c>
      <c r="L156" s="225">
        <v>1</v>
      </c>
      <c r="M156" s="225">
        <v>1</v>
      </c>
      <c r="N156" s="225">
        <v>1</v>
      </c>
      <c r="O156" s="225">
        <v>1</v>
      </c>
      <c r="P156" s="225">
        <v>6.8493150684931559E-2</v>
      </c>
      <c r="Q156" s="298"/>
      <c r="R156" s="111"/>
    </row>
    <row r="157" spans="1:18" ht="13.85">
      <c r="A157" s="323" t="s">
        <v>257</v>
      </c>
      <c r="B157" s="272"/>
      <c r="C157" s="272"/>
      <c r="D157" s="272"/>
      <c r="E157" s="246"/>
      <c r="F157" s="246"/>
      <c r="G157" s="246"/>
      <c r="H157" s="246"/>
      <c r="I157" s="246"/>
      <c r="J157" s="187"/>
      <c r="K157" s="299">
        <v>0.46575342465753422</v>
      </c>
      <c r="L157" s="299">
        <v>1.4315068493150684</v>
      </c>
      <c r="M157" s="299">
        <v>2.4315068493150687</v>
      </c>
      <c r="N157" s="299">
        <v>3.4315068493150687</v>
      </c>
      <c r="O157" s="299">
        <v>4.4315068493150687</v>
      </c>
      <c r="P157" s="299">
        <v>4.9657534246575343</v>
      </c>
      <c r="Q157" s="300"/>
      <c r="R157" s="111"/>
    </row>
    <row r="158" spans="1:18" ht="13.85">
      <c r="A158" s="324" t="s">
        <v>258</v>
      </c>
      <c r="B158" s="272"/>
      <c r="C158" s="112"/>
      <c r="D158" s="187"/>
      <c r="E158" s="246"/>
      <c r="F158" s="246"/>
      <c r="G158" s="246"/>
      <c r="H158" s="246"/>
      <c r="I158" s="246"/>
      <c r="J158" s="246"/>
      <c r="K158" s="299">
        <v>0.95539348276035541</v>
      </c>
      <c r="L158" s="299">
        <v>0.86913979949856934</v>
      </c>
      <c r="M158" s="299">
        <v>0.78802467206751625</v>
      </c>
      <c r="N158" s="299">
        <v>0.7144798617499496</v>
      </c>
      <c r="O158" s="299">
        <v>0.64779884557026912</v>
      </c>
      <c r="P158" s="299">
        <v>0.61476349751871595</v>
      </c>
      <c r="Q158" s="300"/>
      <c r="R158" s="111"/>
    </row>
    <row r="159" spans="1:18" ht="13.85">
      <c r="A159" s="325" t="s">
        <v>259</v>
      </c>
      <c r="B159" s="301"/>
      <c r="C159" s="301"/>
      <c r="D159" s="301"/>
      <c r="E159" s="302"/>
      <c r="F159" s="302"/>
      <c r="G159" s="302"/>
      <c r="H159" s="302"/>
      <c r="I159" s="302"/>
      <c r="J159" s="302"/>
      <c r="K159" s="303">
        <v>382222.11047146365</v>
      </c>
      <c r="L159" s="303">
        <v>420875.7727523162</v>
      </c>
      <c r="M159" s="303">
        <v>429559.19276817149</v>
      </c>
      <c r="N159" s="303">
        <v>403017.50509609893</v>
      </c>
      <c r="O159" s="303">
        <v>433045.63802590687</v>
      </c>
      <c r="P159" s="303">
        <v>-1976.087920819961</v>
      </c>
      <c r="Q159" s="304"/>
      <c r="R159" s="111"/>
    </row>
    <row r="160" spans="1:18" ht="13.85">
      <c r="A160" s="326" t="s">
        <v>39</v>
      </c>
      <c r="B160" s="305"/>
      <c r="C160" s="305"/>
      <c r="D160" s="305"/>
      <c r="E160" s="306">
        <v>323080</v>
      </c>
      <c r="F160" s="306">
        <v>325160</v>
      </c>
      <c r="G160" s="306">
        <v>395060</v>
      </c>
      <c r="H160" s="306">
        <v>420950</v>
      </c>
      <c r="I160" s="306">
        <v>464460</v>
      </c>
      <c r="J160" s="306">
        <v>530270</v>
      </c>
      <c r="K160" s="306">
        <v>620158.77844233997</v>
      </c>
      <c r="L160" s="306">
        <v>691654.80158359162</v>
      </c>
      <c r="M160" s="306">
        <v>742348.20944486454</v>
      </c>
      <c r="N160" s="306">
        <v>753733.00008597318</v>
      </c>
      <c r="O160" s="306">
        <v>897034</v>
      </c>
      <c r="P160" s="306">
        <v>0</v>
      </c>
      <c r="Q160" s="307">
        <v>835593.31506849313</v>
      </c>
      <c r="R160" s="111"/>
    </row>
    <row r="161" spans="1:18" ht="14.4" thickBot="1">
      <c r="A161" s="321" t="s">
        <v>215</v>
      </c>
      <c r="B161" s="192"/>
      <c r="C161" s="112"/>
      <c r="D161" s="313" t="s">
        <v>194</v>
      </c>
      <c r="E161" s="246">
        <v>0.27387552345591104</v>
      </c>
      <c r="F161" s="246">
        <v>0.26413439043410447</v>
      </c>
      <c r="G161" s="246">
        <v>0.26973365286795981</v>
      </c>
      <c r="H161" s="246">
        <v>0.26820814404679227</v>
      </c>
      <c r="I161" s="246">
        <v>0.28290198992550725</v>
      </c>
      <c r="J161" s="246">
        <v>0.27653660419078613</v>
      </c>
      <c r="K161" s="298">
        <v>0.28320635692222312</v>
      </c>
      <c r="L161" s="298">
        <v>0.28260043435080479</v>
      </c>
      <c r="M161" s="298">
        <v>0.27251272435368873</v>
      </c>
      <c r="N161" s="298">
        <v>0.25792013759905347</v>
      </c>
      <c r="O161" s="298">
        <v>0.26212110763447732</v>
      </c>
      <c r="P161" s="298" t="s">
        <v>213</v>
      </c>
      <c r="Q161" s="308"/>
      <c r="R161" s="111"/>
    </row>
    <row r="162" spans="1:18">
      <c r="A162" s="224"/>
      <c r="B162" s="292"/>
      <c r="C162" s="292"/>
      <c r="D162" s="211"/>
      <c r="E162" s="225"/>
      <c r="F162" s="225"/>
      <c r="G162" s="225"/>
      <c r="H162" s="225"/>
      <c r="I162" s="225"/>
      <c r="J162" s="225"/>
      <c r="K162" s="225"/>
      <c r="L162" s="225"/>
      <c r="M162" s="225"/>
      <c r="N162" s="225"/>
      <c r="O162" s="225"/>
      <c r="P162" s="225"/>
      <c r="Q162" s="188"/>
      <c r="R162" s="223"/>
    </row>
    <row r="163" spans="1:18">
      <c r="A163" s="224"/>
      <c r="B163" s="292"/>
      <c r="C163" s="293"/>
      <c r="D163" s="294"/>
      <c r="E163" s="249"/>
      <c r="F163" s="249"/>
      <c r="G163" s="249"/>
      <c r="H163" s="249"/>
      <c r="I163" s="249"/>
      <c r="J163" s="249"/>
      <c r="K163" s="249"/>
      <c r="L163" s="249"/>
      <c r="M163" s="249"/>
      <c r="N163" s="249"/>
      <c r="O163" s="249"/>
      <c r="P163" s="249"/>
      <c r="Q163" s="263"/>
      <c r="R163" s="223"/>
    </row>
    <row r="164" spans="1:18">
      <c r="A164" s="117"/>
      <c r="B164" s="117"/>
      <c r="C164" s="170"/>
      <c r="D164" s="294"/>
      <c r="E164" s="155"/>
      <c r="F164" s="155"/>
      <c r="G164" s="155"/>
      <c r="H164" s="156"/>
      <c r="I164" s="157"/>
      <c r="J164" s="157"/>
      <c r="K164" s="256"/>
      <c r="L164" s="256"/>
      <c r="M164" s="256"/>
      <c r="N164" s="256"/>
      <c r="O164" s="256"/>
      <c r="P164" s="256"/>
      <c r="Q164" s="168"/>
      <c r="R164" s="187"/>
    </row>
    <row r="165" spans="1:18">
      <c r="A165" s="117"/>
      <c r="B165" s="117"/>
      <c r="C165" s="170"/>
      <c r="D165" s="294"/>
      <c r="E165" s="155"/>
      <c r="F165" s="155"/>
      <c r="G165" s="155"/>
      <c r="H165" s="156" t="s">
        <v>204</v>
      </c>
      <c r="I165" s="157" t="s">
        <v>205</v>
      </c>
      <c r="J165" s="157" t="s">
        <v>206</v>
      </c>
      <c r="K165" s="256"/>
      <c r="L165" s="256"/>
      <c r="M165" s="256"/>
      <c r="N165" s="256"/>
      <c r="O165" s="256"/>
      <c r="P165" s="256"/>
      <c r="Q165" s="168"/>
      <c r="R165" s="187"/>
    </row>
    <row r="166" spans="1:18">
      <c r="A166" s="117"/>
      <c r="B166" s="117"/>
      <c r="C166" s="170"/>
      <c r="D166" s="124" t="s">
        <v>260</v>
      </c>
      <c r="E166" s="125"/>
      <c r="F166" s="125"/>
      <c r="G166" s="125"/>
      <c r="H166" s="125"/>
      <c r="I166" s="160">
        <v>-0.05</v>
      </c>
      <c r="J166" s="161">
        <v>0.05</v>
      </c>
      <c r="K166" s="131">
        <v>6.6697527314369953E-3</v>
      </c>
      <c r="L166" s="131">
        <v>-6.0592257141833805E-4</v>
      </c>
      <c r="M166" s="131">
        <v>-1.0087709997116057E-2</v>
      </c>
      <c r="N166" s="131">
        <v>-1.4592586754635262E-2</v>
      </c>
      <c r="O166" s="131">
        <v>4.2009700354238566E-3</v>
      </c>
      <c r="P166" s="131" t="e">
        <v>#VALUE!</v>
      </c>
      <c r="Q166" s="168"/>
      <c r="R166" s="187"/>
    </row>
    <row r="167" spans="1:18" ht="13.25" thickBot="1">
      <c r="A167" s="117"/>
      <c r="B167" s="117"/>
      <c r="C167" s="170"/>
      <c r="D167" s="152"/>
      <c r="E167" s="153"/>
      <c r="F167" s="153"/>
      <c r="G167" s="153"/>
      <c r="H167" s="153"/>
      <c r="I167" s="153"/>
      <c r="J167" s="153"/>
      <c r="K167" s="256"/>
      <c r="L167" s="256"/>
      <c r="M167" s="256"/>
      <c r="N167" s="256"/>
      <c r="O167" s="256"/>
      <c r="P167" s="256"/>
      <c r="Q167" s="169"/>
      <c r="R167" s="187"/>
    </row>
    <row r="168" spans="1:18">
      <c r="A168" s="117"/>
      <c r="B168" s="117"/>
      <c r="C168" s="134"/>
      <c r="D168" s="133"/>
      <c r="E168" s="134"/>
      <c r="F168" s="134"/>
      <c r="G168" s="134"/>
      <c r="H168" s="134"/>
      <c r="I168" s="134"/>
      <c r="J168" s="134"/>
      <c r="K168" s="264"/>
      <c r="L168" s="264"/>
      <c r="M168" s="264"/>
      <c r="N168" s="264"/>
      <c r="O168" s="264"/>
      <c r="P168" s="264"/>
      <c r="Q168" s="134"/>
      <c r="R168" s="187"/>
    </row>
    <row r="169" spans="1:18" ht="13.85">
      <c r="A169" s="322" t="s">
        <v>193</v>
      </c>
      <c r="B169" s="309"/>
      <c r="C169" s="309"/>
      <c r="D169" s="309"/>
      <c r="E169" s="309"/>
      <c r="F169" s="310">
        <v>6.4380339234864081E-3</v>
      </c>
      <c r="G169" s="310">
        <v>0.21497109115512369</v>
      </c>
      <c r="H169" s="310">
        <v>6.5534349212777787E-2</v>
      </c>
      <c r="I169" s="310">
        <v>0.10336144435206074</v>
      </c>
      <c r="J169" s="310">
        <v>0.14169142660293677</v>
      </c>
      <c r="K169" s="310">
        <v>0.16951511200396019</v>
      </c>
      <c r="L169" s="310">
        <v>0.11528664210934658</v>
      </c>
      <c r="M169" s="310">
        <v>7.329293130793979E-2</v>
      </c>
      <c r="N169" s="310">
        <v>1.5336186571558219E-2</v>
      </c>
      <c r="O169" s="310">
        <v>0.19012170078486879</v>
      </c>
      <c r="P169" s="310">
        <v>-1</v>
      </c>
      <c r="Q169" s="311"/>
      <c r="R169" s="1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F0B5-50A5-47F8-A311-D6A53409B2B9}">
  <dimension ref="A1:Q86"/>
  <sheetViews>
    <sheetView topLeftCell="A10" zoomScale="79" zoomScaleNormal="85" workbookViewId="0">
      <selection activeCell="E85" sqref="E85"/>
    </sheetView>
  </sheetViews>
  <sheetFormatPr defaultRowHeight="12.7"/>
  <cols>
    <col min="1" max="1" width="20.33203125" customWidth="1"/>
    <col min="2" max="2" width="16.109375" customWidth="1"/>
    <col min="3" max="3" width="18.21875" customWidth="1"/>
    <col min="4" max="4" width="16.77734375" customWidth="1"/>
    <col min="5" max="5" width="14.109375" customWidth="1"/>
    <col min="7" max="7" width="15.44140625" customWidth="1"/>
    <col min="16" max="16" width="17.5546875" customWidth="1"/>
  </cols>
  <sheetData>
    <row r="1" spans="1:17" ht="13.85">
      <c r="A1" s="532" t="s">
        <v>261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533"/>
      <c r="Q1" s="534"/>
    </row>
    <row r="2" spans="1:17" ht="13.85">
      <c r="A2" s="350"/>
      <c r="B2" s="350"/>
      <c r="C2" s="350"/>
      <c r="D2" s="355"/>
      <c r="E2" s="350"/>
      <c r="F2" s="355"/>
      <c r="G2" s="351"/>
      <c r="H2" s="358"/>
      <c r="I2" s="358"/>
      <c r="J2" s="358"/>
      <c r="K2" s="358"/>
      <c r="L2" s="350"/>
      <c r="M2" s="358"/>
      <c r="N2" s="350"/>
      <c r="O2" s="350"/>
      <c r="P2" s="350"/>
      <c r="Q2" s="350"/>
    </row>
    <row r="3" spans="1:17">
      <c r="A3" s="539" t="s">
        <v>262</v>
      </c>
      <c r="B3" s="540"/>
      <c r="C3" s="540"/>
      <c r="D3" s="540"/>
      <c r="E3" s="540"/>
      <c r="F3" s="540"/>
      <c r="G3" s="540"/>
      <c r="H3" s="541"/>
      <c r="I3" s="354"/>
      <c r="J3" s="539" t="s">
        <v>263</v>
      </c>
      <c r="K3" s="540"/>
      <c r="L3" s="540"/>
      <c r="M3" s="540"/>
      <c r="N3" s="540"/>
      <c r="O3" s="540"/>
      <c r="P3" s="540"/>
      <c r="Q3" s="541"/>
    </row>
    <row r="4" spans="1:17">
      <c r="A4" s="359"/>
      <c r="B4" s="382" t="s">
        <v>264</v>
      </c>
      <c r="C4" s="355"/>
      <c r="D4" s="355"/>
      <c r="E4" s="355"/>
      <c r="F4" s="355"/>
      <c r="G4" s="363">
        <v>619486.59573937126</v>
      </c>
      <c r="H4" s="360"/>
      <c r="I4" s="353"/>
      <c r="J4" s="364"/>
      <c r="K4" s="382" t="s">
        <v>265</v>
      </c>
      <c r="L4" s="355"/>
      <c r="M4" s="355"/>
      <c r="N4" s="355"/>
      <c r="O4" s="355"/>
      <c r="P4" s="365">
        <v>835593.31506849313</v>
      </c>
      <c r="Q4" s="360"/>
    </row>
    <row r="5" spans="1:17">
      <c r="A5" s="359"/>
      <c r="B5" s="382" t="s">
        <v>131</v>
      </c>
      <c r="C5" s="355"/>
      <c r="D5" s="355"/>
      <c r="E5" s="355"/>
      <c r="F5" s="355"/>
      <c r="G5" s="366">
        <v>0.10293475611395973</v>
      </c>
      <c r="H5" s="360"/>
      <c r="I5" s="353"/>
      <c r="J5" s="364"/>
      <c r="K5" s="382" t="s">
        <v>131</v>
      </c>
      <c r="L5" s="355"/>
      <c r="M5" s="355"/>
      <c r="N5" s="355"/>
      <c r="O5" s="355"/>
      <c r="P5" s="366">
        <v>0.10293475611395973</v>
      </c>
      <c r="Q5" s="360"/>
    </row>
    <row r="6" spans="1:17">
      <c r="A6" s="359"/>
      <c r="B6" s="382" t="s">
        <v>266</v>
      </c>
      <c r="C6" s="355"/>
      <c r="D6" s="355"/>
      <c r="E6" s="355"/>
      <c r="F6" s="355"/>
      <c r="G6" s="366">
        <v>0.02</v>
      </c>
      <c r="H6" s="360"/>
      <c r="I6" s="353"/>
      <c r="J6" s="364"/>
      <c r="K6" s="382" t="s">
        <v>267</v>
      </c>
      <c r="L6" s="355"/>
      <c r="M6" s="355"/>
      <c r="N6" s="355"/>
      <c r="O6" s="355"/>
      <c r="P6" s="367">
        <v>25.325493681232164</v>
      </c>
      <c r="Q6" s="360"/>
    </row>
    <row r="7" spans="1:17">
      <c r="A7" s="359"/>
      <c r="B7" s="383" t="s">
        <v>268</v>
      </c>
      <c r="C7" s="368"/>
      <c r="D7" s="368"/>
      <c r="E7" s="368"/>
      <c r="F7" s="368"/>
      <c r="G7" s="369">
        <v>7618956.8434481733</v>
      </c>
      <c r="H7" s="360"/>
      <c r="I7" s="353"/>
      <c r="J7" s="364"/>
      <c r="K7" s="383" t="s">
        <v>269</v>
      </c>
      <c r="L7" s="368"/>
      <c r="M7" s="368"/>
      <c r="N7" s="368"/>
      <c r="O7" s="368"/>
      <c r="P7" s="370">
        <v>21161813.220846958</v>
      </c>
      <c r="Q7" s="360"/>
    </row>
    <row r="8" spans="1:17">
      <c r="A8" s="359"/>
      <c r="B8" s="384"/>
      <c r="C8" s="355"/>
      <c r="D8" s="355"/>
      <c r="E8" s="355"/>
      <c r="F8" s="355"/>
      <c r="G8" s="371"/>
      <c r="H8" s="360"/>
      <c r="I8" s="353"/>
      <c r="J8" s="364"/>
      <c r="K8" s="387"/>
      <c r="L8" s="355"/>
      <c r="M8" s="355"/>
      <c r="N8" s="355"/>
      <c r="O8" s="355"/>
      <c r="P8" s="355"/>
      <c r="Q8" s="360"/>
    </row>
    <row r="9" spans="1:17">
      <c r="A9" s="359"/>
      <c r="B9" s="385" t="s">
        <v>270</v>
      </c>
      <c r="C9" s="355"/>
      <c r="D9" s="355"/>
      <c r="E9" s="355"/>
      <c r="F9" s="355"/>
      <c r="G9" s="363">
        <v>4668167.1762947952</v>
      </c>
      <c r="H9" s="360"/>
      <c r="I9" s="353"/>
      <c r="J9" s="364"/>
      <c r="K9" s="385" t="s">
        <v>271</v>
      </c>
      <c r="L9" s="355"/>
      <c r="M9" s="355"/>
      <c r="N9" s="355"/>
      <c r="O9" s="355"/>
      <c r="P9" s="363">
        <v>12965932.725211531</v>
      </c>
      <c r="Q9" s="360"/>
    </row>
    <row r="10" spans="1:17">
      <c r="A10" s="359"/>
      <c r="B10" s="382" t="s">
        <v>272</v>
      </c>
      <c r="C10" s="355"/>
      <c r="D10" s="355"/>
      <c r="E10" s="355"/>
      <c r="F10" s="355"/>
      <c r="G10" s="370">
        <v>2066744.1311931373</v>
      </c>
      <c r="H10" s="360"/>
      <c r="I10" s="353"/>
      <c r="J10" s="364"/>
      <c r="K10" s="382" t="s">
        <v>272</v>
      </c>
      <c r="L10" s="355"/>
      <c r="M10" s="355"/>
      <c r="N10" s="355"/>
      <c r="O10" s="355"/>
      <c r="P10" s="370">
        <v>2066744.1311931373</v>
      </c>
      <c r="Q10" s="360"/>
    </row>
    <row r="11" spans="1:17">
      <c r="A11" s="359"/>
      <c r="B11" s="386" t="s">
        <v>273</v>
      </c>
      <c r="C11" s="361"/>
      <c r="D11" s="361"/>
      <c r="E11" s="361"/>
      <c r="F11" s="536">
        <v>6734911.307487933</v>
      </c>
      <c r="G11" s="536"/>
      <c r="H11" s="360"/>
      <c r="I11" s="372"/>
      <c r="J11" s="373"/>
      <c r="K11" s="386" t="s">
        <v>273</v>
      </c>
      <c r="L11" s="361"/>
      <c r="M11" s="361"/>
      <c r="N11" s="361"/>
      <c r="O11" s="535">
        <v>15032676.856404668</v>
      </c>
      <c r="P11" s="535"/>
      <c r="Q11" s="360"/>
    </row>
    <row r="12" spans="1:17">
      <c r="A12" s="359"/>
      <c r="B12" s="387"/>
      <c r="C12" s="355"/>
      <c r="D12" s="355"/>
      <c r="E12" s="355"/>
      <c r="F12" s="355"/>
      <c r="G12" s="370"/>
      <c r="H12" s="360"/>
      <c r="I12" s="353"/>
      <c r="J12" s="364"/>
      <c r="K12" s="387"/>
      <c r="L12" s="355"/>
      <c r="M12" s="355"/>
      <c r="N12" s="355"/>
      <c r="O12" s="355"/>
      <c r="P12" s="371"/>
      <c r="Q12" s="360"/>
    </row>
    <row r="13" spans="1:17">
      <c r="A13" s="359"/>
      <c r="B13" s="388" t="s">
        <v>274</v>
      </c>
      <c r="C13" s="355"/>
      <c r="D13" s="355"/>
      <c r="E13" s="355"/>
      <c r="F13" s="355"/>
      <c r="G13" s="370">
        <v>14500</v>
      </c>
      <c r="H13" s="360"/>
      <c r="I13" s="353"/>
      <c r="J13" s="364"/>
      <c r="K13" s="388" t="s">
        <v>274</v>
      </c>
      <c r="L13" s="355"/>
      <c r="M13" s="355"/>
      <c r="N13" s="355"/>
      <c r="O13" s="355"/>
      <c r="P13" s="370">
        <v>14500</v>
      </c>
      <c r="Q13" s="360"/>
    </row>
    <row r="14" spans="1:17">
      <c r="A14" s="359"/>
      <c r="B14" s="385" t="s">
        <v>275</v>
      </c>
      <c r="C14" s="355"/>
      <c r="D14" s="355"/>
      <c r="E14" s="355"/>
      <c r="F14" s="355"/>
      <c r="G14" s="370">
        <v>63680</v>
      </c>
      <c r="H14" s="360"/>
      <c r="I14" s="353"/>
      <c r="J14" s="364"/>
      <c r="K14" s="385" t="s">
        <v>275</v>
      </c>
      <c r="L14" s="355"/>
      <c r="M14" s="355"/>
      <c r="N14" s="355"/>
      <c r="O14" s="355"/>
      <c r="P14" s="370">
        <v>63680</v>
      </c>
      <c r="Q14" s="360"/>
    </row>
    <row r="15" spans="1:17">
      <c r="A15" s="359"/>
      <c r="B15" s="385" t="s">
        <v>276</v>
      </c>
      <c r="C15" s="355"/>
      <c r="D15" s="355"/>
      <c r="E15" s="355"/>
      <c r="F15" s="374"/>
      <c r="G15" s="370">
        <v>482570</v>
      </c>
      <c r="H15" s="360"/>
      <c r="I15" s="353"/>
      <c r="J15" s="364"/>
      <c r="K15" s="385" t="s">
        <v>276</v>
      </c>
      <c r="L15" s="355"/>
      <c r="M15" s="355"/>
      <c r="N15" s="355"/>
      <c r="O15" s="374"/>
      <c r="P15" s="370">
        <v>482570</v>
      </c>
      <c r="Q15" s="360"/>
    </row>
    <row r="16" spans="1:17">
      <c r="A16" s="359"/>
      <c r="B16" s="382" t="s">
        <v>277</v>
      </c>
      <c r="C16" s="355"/>
      <c r="D16" s="355"/>
      <c r="E16" s="355"/>
      <c r="F16" s="355"/>
      <c r="G16" s="370">
        <v>-404390</v>
      </c>
      <c r="H16" s="360"/>
      <c r="I16" s="353"/>
      <c r="J16" s="364"/>
      <c r="K16" s="382" t="s">
        <v>277</v>
      </c>
      <c r="L16" s="355"/>
      <c r="M16" s="355"/>
      <c r="N16" s="355"/>
      <c r="O16" s="355"/>
      <c r="P16" s="370">
        <v>-404390</v>
      </c>
      <c r="Q16" s="356"/>
    </row>
    <row r="17" spans="1:17">
      <c r="A17" s="359"/>
      <c r="B17" s="382" t="s">
        <v>278</v>
      </c>
      <c r="C17" s="355"/>
      <c r="D17" s="355"/>
      <c r="E17" s="355"/>
      <c r="F17" s="355"/>
      <c r="G17" s="370">
        <v>7070</v>
      </c>
      <c r="H17" s="360"/>
      <c r="I17" s="353"/>
      <c r="J17" s="364"/>
      <c r="K17" s="382" t="s">
        <v>278</v>
      </c>
      <c r="L17" s="355"/>
      <c r="M17" s="355"/>
      <c r="N17" s="355"/>
      <c r="O17" s="355"/>
      <c r="P17" s="370">
        <v>7070</v>
      </c>
      <c r="Q17" s="356"/>
    </row>
    <row r="18" spans="1:17">
      <c r="A18" s="359"/>
      <c r="B18" s="383" t="s">
        <v>279</v>
      </c>
      <c r="C18" s="368"/>
      <c r="D18" s="368"/>
      <c r="E18" s="368"/>
      <c r="F18" s="368"/>
      <c r="G18" s="369">
        <v>7132231.307487933</v>
      </c>
      <c r="H18" s="360"/>
      <c r="I18" s="372"/>
      <c r="J18" s="373"/>
      <c r="K18" s="383" t="s">
        <v>279</v>
      </c>
      <c r="L18" s="368"/>
      <c r="M18" s="368"/>
      <c r="N18" s="368"/>
      <c r="O18" s="368"/>
      <c r="P18" s="369">
        <v>15429996.856404668</v>
      </c>
      <c r="Q18" s="356"/>
    </row>
    <row r="19" spans="1:17">
      <c r="A19" s="359"/>
      <c r="B19" s="387"/>
      <c r="C19" s="355"/>
      <c r="D19" s="355"/>
      <c r="E19" s="355"/>
      <c r="F19" s="355"/>
      <c r="G19" s="370"/>
      <c r="H19" s="360"/>
      <c r="I19" s="353"/>
      <c r="J19" s="364"/>
      <c r="K19" s="387"/>
      <c r="L19" s="355"/>
      <c r="M19" s="355"/>
      <c r="N19" s="355"/>
      <c r="O19" s="355"/>
      <c r="P19" s="370"/>
      <c r="Q19" s="356"/>
    </row>
    <row r="20" spans="1:17" ht="13.85">
      <c r="A20" s="359"/>
      <c r="B20" s="385" t="s">
        <v>280</v>
      </c>
      <c r="C20" s="351"/>
      <c r="D20" s="355"/>
      <c r="E20" s="350"/>
      <c r="F20" s="355"/>
      <c r="G20" s="370">
        <v>3699.0513729999998</v>
      </c>
      <c r="H20" s="360"/>
      <c r="I20" s="353"/>
      <c r="J20" s="364"/>
      <c r="K20" s="385" t="s">
        <v>280</v>
      </c>
      <c r="L20" s="351"/>
      <c r="M20" s="352"/>
      <c r="N20" s="350"/>
      <c r="O20" s="355"/>
      <c r="P20" s="370">
        <v>3699.0513729999998</v>
      </c>
      <c r="Q20" s="356"/>
    </row>
    <row r="21" spans="1:17">
      <c r="A21" s="359"/>
      <c r="B21" s="389" t="s">
        <v>281</v>
      </c>
      <c r="C21" s="375"/>
      <c r="D21" s="375"/>
      <c r="E21" s="375"/>
      <c r="F21" s="537">
        <v>1928.1244265887447</v>
      </c>
      <c r="G21" s="537"/>
      <c r="H21" s="360"/>
      <c r="I21" s="372"/>
      <c r="J21" s="373"/>
      <c r="K21" s="389" t="s">
        <v>281</v>
      </c>
      <c r="L21" s="375"/>
      <c r="M21" s="375"/>
      <c r="N21" s="375"/>
      <c r="O21" s="537">
        <v>4171.338892190257</v>
      </c>
      <c r="P21" s="537"/>
      <c r="Q21" s="356"/>
    </row>
    <row r="22" spans="1:17">
      <c r="A22" s="359"/>
      <c r="B22" s="390" t="s">
        <v>282</v>
      </c>
      <c r="C22" s="362"/>
      <c r="D22" s="362"/>
      <c r="E22" s="362"/>
      <c r="F22" s="362"/>
      <c r="G22" s="376">
        <v>3554.800048828125</v>
      </c>
      <c r="H22" s="360"/>
      <c r="I22" s="372"/>
      <c r="J22" s="373"/>
      <c r="K22" s="390" t="s">
        <v>282</v>
      </c>
      <c r="L22" s="362"/>
      <c r="M22" s="362"/>
      <c r="N22" s="362"/>
      <c r="O22" s="362"/>
      <c r="P22" s="376">
        <v>3554.800048828125</v>
      </c>
      <c r="Q22" s="356"/>
    </row>
    <row r="23" spans="1:17">
      <c r="A23" s="359"/>
      <c r="B23" s="391" t="s">
        <v>283</v>
      </c>
      <c r="C23" s="357"/>
      <c r="D23" s="357"/>
      <c r="E23" s="357"/>
      <c r="F23" s="538">
        <v>-0.4575997524180383</v>
      </c>
      <c r="G23" s="538"/>
      <c r="H23" s="360"/>
      <c r="I23" s="372"/>
      <c r="J23" s="373"/>
      <c r="K23" s="391" t="s">
        <v>283</v>
      </c>
      <c r="L23" s="357"/>
      <c r="M23" s="357"/>
      <c r="N23" s="357"/>
      <c r="O23" s="538">
        <v>0.17343840297441759</v>
      </c>
      <c r="P23" s="538"/>
      <c r="Q23" s="356"/>
    </row>
    <row r="24" spans="1:17">
      <c r="A24" s="377"/>
      <c r="B24" s="378"/>
      <c r="C24" s="379"/>
      <c r="D24" s="379"/>
      <c r="E24" s="379"/>
      <c r="F24" s="380"/>
      <c r="G24" s="380"/>
      <c r="H24" s="381"/>
      <c r="I24" s="372"/>
      <c r="J24" s="377"/>
      <c r="K24" s="378"/>
      <c r="L24" s="379"/>
      <c r="M24" s="379"/>
      <c r="N24" s="379"/>
      <c r="O24" s="380"/>
      <c r="P24" s="380"/>
      <c r="Q24" s="381"/>
    </row>
    <row r="25" spans="1:17">
      <c r="B25" s="382" t="s">
        <v>264</v>
      </c>
      <c r="C25" s="355"/>
      <c r="D25" s="355"/>
      <c r="E25" s="355"/>
      <c r="F25" s="355"/>
      <c r="G25" s="363">
        <v>619486.59573937126</v>
      </c>
      <c r="J25" s="539" t="s">
        <v>263</v>
      </c>
      <c r="K25" s="540"/>
      <c r="L25" s="540"/>
      <c r="M25" s="540"/>
      <c r="N25" s="540"/>
      <c r="O25" s="540"/>
      <c r="P25" s="540"/>
      <c r="Q25" s="541"/>
    </row>
    <row r="26" spans="1:17">
      <c r="B26" s="382" t="s">
        <v>131</v>
      </c>
      <c r="C26" s="355"/>
      <c r="D26" s="355"/>
      <c r="E26" s="355"/>
      <c r="F26" s="355"/>
      <c r="G26" s="366">
        <v>0.10293475611395973</v>
      </c>
      <c r="J26" s="364"/>
      <c r="K26" s="382" t="s">
        <v>265</v>
      </c>
      <c r="L26" s="355"/>
      <c r="M26" s="355"/>
      <c r="N26" s="355"/>
      <c r="O26" s="355"/>
      <c r="P26" s="365">
        <v>835593.31506849313</v>
      </c>
      <c r="Q26" s="360"/>
    </row>
    <row r="27" spans="1:17">
      <c r="B27" s="382" t="s">
        <v>266</v>
      </c>
      <c r="C27" s="355"/>
      <c r="D27" s="355"/>
      <c r="E27" s="355"/>
      <c r="F27" s="355"/>
      <c r="G27" s="366">
        <v>0.05</v>
      </c>
      <c r="J27" s="364"/>
      <c r="K27" s="382" t="s">
        <v>131</v>
      </c>
      <c r="L27" s="355"/>
      <c r="M27" s="355"/>
      <c r="N27" s="355"/>
      <c r="O27" s="355"/>
      <c r="P27" s="366">
        <v>0.10293475611395973</v>
      </c>
      <c r="Q27" s="360"/>
    </row>
    <row r="28" spans="1:17">
      <c r="B28" s="383" t="s">
        <v>268</v>
      </c>
      <c r="C28" s="368"/>
      <c r="D28" s="368"/>
      <c r="E28" s="368"/>
      <c r="F28" s="368"/>
      <c r="G28" s="369">
        <f>G25/(G26-G27)</f>
        <v>11702832.717425194</v>
      </c>
      <c r="J28" s="364"/>
      <c r="K28" s="382" t="s">
        <v>267</v>
      </c>
      <c r="L28" s="355"/>
      <c r="M28" s="355"/>
      <c r="N28" s="355"/>
      <c r="O28" s="355"/>
      <c r="P28" s="367">
        <v>14.962</v>
      </c>
      <c r="Q28" s="360"/>
    </row>
    <row r="29" spans="1:17">
      <c r="B29" s="384"/>
      <c r="C29" s="355"/>
      <c r="D29" s="355"/>
      <c r="E29" s="355"/>
      <c r="F29" s="355"/>
      <c r="G29" s="371"/>
      <c r="J29" s="364"/>
      <c r="K29" s="383" t="s">
        <v>269</v>
      </c>
      <c r="L29" s="368"/>
      <c r="M29" s="368"/>
      <c r="N29" s="368"/>
      <c r="O29" s="368"/>
      <c r="P29" s="370">
        <f>P28*P26</f>
        <v>12502147.180054793</v>
      </c>
      <c r="Q29" s="360"/>
    </row>
    <row r="30" spans="1:17">
      <c r="B30" s="385" t="s">
        <v>270</v>
      </c>
      <c r="C30" s="355"/>
      <c r="D30" s="355"/>
      <c r="E30" s="355"/>
      <c r="F30" s="355"/>
      <c r="G30" s="363">
        <f>G28/(1+G26)^5</f>
        <v>7170375.2473847084</v>
      </c>
      <c r="J30" s="364"/>
      <c r="K30" s="387"/>
      <c r="L30" s="355"/>
      <c r="M30" s="355"/>
      <c r="N30" s="355"/>
      <c r="O30" s="355"/>
      <c r="P30" s="355"/>
      <c r="Q30" s="360"/>
    </row>
    <row r="31" spans="1:17">
      <c r="B31" s="382" t="s">
        <v>272</v>
      </c>
      <c r="C31" s="355"/>
      <c r="D31" s="355"/>
      <c r="E31" s="355"/>
      <c r="F31" s="355"/>
      <c r="G31" s="370">
        <f>G25+G30</f>
        <v>7789861.8431240795</v>
      </c>
      <c r="J31" s="364"/>
      <c r="K31" s="385" t="s">
        <v>271</v>
      </c>
      <c r="L31" s="355"/>
      <c r="M31" s="355"/>
      <c r="N31" s="355"/>
      <c r="O31" s="355"/>
      <c r="P31" s="363">
        <f>P29/(1+P27)^5</f>
        <v>7660118.6091933427</v>
      </c>
      <c r="Q31" s="360"/>
    </row>
    <row r="32" spans="1:17">
      <c r="B32" s="386" t="s">
        <v>273</v>
      </c>
      <c r="C32" s="361"/>
      <c r="D32" s="361"/>
      <c r="E32" s="361"/>
      <c r="F32" s="536">
        <v>6734911.307487933</v>
      </c>
      <c r="G32" s="536"/>
      <c r="J32" s="364"/>
      <c r="K32" s="382" t="s">
        <v>272</v>
      </c>
      <c r="L32" s="355"/>
      <c r="M32" s="355"/>
      <c r="N32" s="355"/>
      <c r="O32" s="355"/>
      <c r="P32" s="370">
        <f>G4+P31</f>
        <v>8279605.2049327139</v>
      </c>
      <c r="Q32" s="360"/>
    </row>
    <row r="33" spans="1:17">
      <c r="B33" s="387"/>
      <c r="C33" s="355"/>
      <c r="D33" s="355"/>
      <c r="E33" s="355"/>
      <c r="F33" s="355"/>
      <c r="G33" s="370"/>
      <c r="J33" s="373"/>
      <c r="K33" s="386" t="s">
        <v>273</v>
      </c>
      <c r="L33" s="361"/>
      <c r="M33" s="361"/>
      <c r="N33" s="361"/>
      <c r="O33" s="535">
        <v>15032676.856404668</v>
      </c>
      <c r="P33" s="535"/>
      <c r="Q33" s="360"/>
    </row>
    <row r="34" spans="1:17">
      <c r="B34" s="388" t="s">
        <v>274</v>
      </c>
      <c r="C34" s="355"/>
      <c r="D34" s="355"/>
      <c r="E34" s="355"/>
      <c r="F34" s="355"/>
      <c r="G34" s="370">
        <v>14500</v>
      </c>
      <c r="J34" s="364"/>
      <c r="K34" s="387"/>
      <c r="L34" s="355"/>
      <c r="M34" s="355"/>
      <c r="N34" s="355"/>
      <c r="O34" s="355"/>
      <c r="P34" s="371"/>
      <c r="Q34" s="360"/>
    </row>
    <row r="35" spans="1:17">
      <c r="B35" s="385" t="s">
        <v>275</v>
      </c>
      <c r="C35" s="355"/>
      <c r="D35" s="355"/>
      <c r="E35" s="355"/>
      <c r="F35" s="355"/>
      <c r="G35" s="370">
        <v>63680</v>
      </c>
      <c r="J35" s="364"/>
      <c r="K35" s="388" t="s">
        <v>274</v>
      </c>
      <c r="L35" s="355"/>
      <c r="M35" s="355"/>
      <c r="N35" s="355"/>
      <c r="O35" s="355"/>
      <c r="P35" s="370">
        <v>14500</v>
      </c>
      <c r="Q35" s="360"/>
    </row>
    <row r="36" spans="1:17">
      <c r="B36" s="385" t="s">
        <v>276</v>
      </c>
      <c r="C36" s="355"/>
      <c r="D36" s="355"/>
      <c r="E36" s="355"/>
      <c r="F36" s="374"/>
      <c r="G36" s="370">
        <v>482570</v>
      </c>
      <c r="J36" s="364"/>
      <c r="K36" s="385" t="s">
        <v>275</v>
      </c>
      <c r="L36" s="355"/>
      <c r="M36" s="355"/>
      <c r="N36" s="355"/>
      <c r="O36" s="355"/>
      <c r="P36" s="370">
        <v>63680</v>
      </c>
      <c r="Q36" s="360"/>
    </row>
    <row r="37" spans="1:17">
      <c r="B37" s="382" t="s">
        <v>277</v>
      </c>
      <c r="C37" s="355"/>
      <c r="D37" s="355"/>
      <c r="E37" s="355"/>
      <c r="F37" s="355"/>
      <c r="G37" s="370">
        <v>-404390</v>
      </c>
      <c r="J37" s="364"/>
      <c r="K37" s="385" t="s">
        <v>276</v>
      </c>
      <c r="L37" s="355"/>
      <c r="M37" s="355"/>
      <c r="N37" s="355"/>
      <c r="O37" s="374"/>
      <c r="P37" s="370">
        <v>482570</v>
      </c>
      <c r="Q37" s="360"/>
    </row>
    <row r="38" spans="1:17">
      <c r="B38" s="382" t="s">
        <v>278</v>
      </c>
      <c r="C38" s="355"/>
      <c r="D38" s="355"/>
      <c r="E38" s="355"/>
      <c r="F38" s="355"/>
      <c r="G38" s="370">
        <v>7070</v>
      </c>
      <c r="J38" s="364"/>
      <c r="K38" s="382" t="s">
        <v>277</v>
      </c>
      <c r="L38" s="355"/>
      <c r="M38" s="355"/>
      <c r="N38" s="355"/>
      <c r="O38" s="355"/>
      <c r="P38" s="370">
        <v>-404390</v>
      </c>
      <c r="Q38" s="356"/>
    </row>
    <row r="39" spans="1:17">
      <c r="B39" s="383" t="s">
        <v>279</v>
      </c>
      <c r="C39" s="368"/>
      <c r="D39" s="368"/>
      <c r="E39" s="368"/>
      <c r="F39" s="368"/>
      <c r="G39" s="369">
        <f>G31-SUM(G34:G38)</f>
        <v>7626431.8431240795</v>
      </c>
      <c r="J39" s="364"/>
      <c r="K39" s="382" t="s">
        <v>278</v>
      </c>
      <c r="L39" s="355"/>
      <c r="M39" s="355"/>
      <c r="N39" s="355"/>
      <c r="O39" s="355"/>
      <c r="P39" s="370">
        <v>7070</v>
      </c>
      <c r="Q39" s="356"/>
    </row>
    <row r="40" spans="1:17">
      <c r="B40" s="387"/>
      <c r="C40" s="355"/>
      <c r="D40" s="355"/>
      <c r="E40" s="355"/>
      <c r="F40" s="355"/>
      <c r="G40" s="370"/>
      <c r="J40" s="373"/>
      <c r="K40" s="383" t="s">
        <v>279</v>
      </c>
      <c r="L40" s="368"/>
      <c r="M40" s="368"/>
      <c r="N40" s="368"/>
      <c r="O40" s="368"/>
      <c r="P40" s="369">
        <f>P32-SUM(P35:P39)</f>
        <v>8116175.2049327139</v>
      </c>
      <c r="Q40" s="356"/>
    </row>
    <row r="41" spans="1:17" ht="13.85">
      <c r="B41" s="385" t="s">
        <v>280</v>
      </c>
      <c r="C41" s="351"/>
      <c r="D41" s="355"/>
      <c r="E41" s="350"/>
      <c r="F41" s="355"/>
      <c r="G41" s="370">
        <v>3699.0513729999998</v>
      </c>
      <c r="J41" s="364"/>
      <c r="K41" s="387"/>
      <c r="L41" s="355"/>
      <c r="M41" s="355"/>
      <c r="N41" s="355"/>
      <c r="O41" s="355"/>
      <c r="P41" s="370"/>
      <c r="Q41" s="356"/>
    </row>
    <row r="42" spans="1:17" ht="13.85">
      <c r="B42" s="389" t="s">
        <v>281</v>
      </c>
      <c r="C42" s="375"/>
      <c r="D42" s="375"/>
      <c r="E42" s="375"/>
      <c r="F42" s="537">
        <f>G39/G41</f>
        <v>2061.7263925531538</v>
      </c>
      <c r="G42" s="537"/>
      <c r="J42" s="364"/>
      <c r="K42" s="385" t="s">
        <v>280</v>
      </c>
      <c r="L42" s="351"/>
      <c r="M42" s="352"/>
      <c r="N42" s="350"/>
      <c r="O42" s="355"/>
      <c r="P42" s="370">
        <v>3699.0513729999998</v>
      </c>
      <c r="Q42" s="356"/>
    </row>
    <row r="43" spans="1:17">
      <c r="B43" s="390" t="s">
        <v>282</v>
      </c>
      <c r="C43" s="362"/>
      <c r="D43" s="362"/>
      <c r="E43" s="362"/>
      <c r="F43" s="362"/>
      <c r="G43" s="376">
        <v>3554.800048828125</v>
      </c>
      <c r="J43" s="373"/>
      <c r="K43" s="389" t="s">
        <v>281</v>
      </c>
      <c r="L43" s="375"/>
      <c r="M43" s="375"/>
      <c r="N43" s="375"/>
      <c r="O43" s="537">
        <f>P40/P42</f>
        <v>2194.1234080105096</v>
      </c>
      <c r="P43" s="537"/>
      <c r="Q43" s="356"/>
    </row>
    <row r="44" spans="1:17">
      <c r="B44" s="391" t="s">
        <v>283</v>
      </c>
      <c r="C44" s="357"/>
      <c r="D44" s="357"/>
      <c r="E44" s="357"/>
      <c r="F44" s="538"/>
      <c r="G44" s="538"/>
      <c r="J44" s="373"/>
      <c r="K44" s="390" t="s">
        <v>282</v>
      </c>
      <c r="L44" s="362"/>
      <c r="M44" s="362"/>
      <c r="N44" s="362"/>
      <c r="O44" s="362"/>
      <c r="P44" s="376">
        <v>3554.800048828125</v>
      </c>
      <c r="Q44" s="356"/>
    </row>
    <row r="45" spans="1:17">
      <c r="J45" s="373"/>
      <c r="K45" s="391" t="s">
        <v>283</v>
      </c>
      <c r="L45" s="357"/>
      <c r="M45" s="357"/>
      <c r="N45" s="357"/>
      <c r="O45" s="538">
        <v>0.17343840297441759</v>
      </c>
      <c r="P45" s="538"/>
      <c r="Q45" s="356"/>
    </row>
    <row r="46" spans="1:17">
      <c r="A46" s="65" t="s">
        <v>137</v>
      </c>
      <c r="B46" s="67">
        <v>9.6799999999999997E-2</v>
      </c>
      <c r="J46" s="377"/>
      <c r="K46" s="378"/>
      <c r="L46" s="379"/>
      <c r="M46" s="379"/>
      <c r="N46" s="379"/>
      <c r="O46" s="380"/>
      <c r="P46" s="380"/>
      <c r="Q46" s="381"/>
    </row>
    <row r="47" spans="1:17">
      <c r="A47" s="101" t="s">
        <v>149</v>
      </c>
      <c r="B47" s="101">
        <v>39</v>
      </c>
      <c r="C47" s="65" t="s">
        <v>284</v>
      </c>
      <c r="D47" s="370">
        <v>3699.0513729999998</v>
      </c>
    </row>
    <row r="49" spans="1:5">
      <c r="A49" s="82" t="s">
        <v>146</v>
      </c>
      <c r="B49" s="101"/>
    </row>
    <row r="50" spans="1:5">
      <c r="A50" s="82" t="s">
        <v>140</v>
      </c>
      <c r="B50" s="101"/>
    </row>
    <row r="51" spans="1:5">
      <c r="A51" s="93" t="s">
        <v>148</v>
      </c>
      <c r="B51" s="86">
        <f>'Industry ratios'!D9</f>
        <v>14.693200000000001</v>
      </c>
      <c r="C51" s="86"/>
      <c r="D51" s="93" t="s">
        <v>148</v>
      </c>
      <c r="E51" s="86">
        <v>19.501999999999999</v>
      </c>
    </row>
    <row r="52" spans="1:5">
      <c r="A52" s="93" t="s">
        <v>147</v>
      </c>
      <c r="B52" s="86">
        <f>B51*TCS!F11</f>
        <v>5804695.5920000002</v>
      </c>
      <c r="C52" s="86"/>
      <c r="D52" s="93" t="s">
        <v>147</v>
      </c>
      <c r="E52" s="86">
        <f>E51*TCS!F11</f>
        <v>7704460.1199999992</v>
      </c>
    </row>
    <row r="53" spans="1:5">
      <c r="A53" s="93" t="s">
        <v>151</v>
      </c>
      <c r="B53" s="86">
        <f>B52-B47</f>
        <v>5804656.5920000002</v>
      </c>
      <c r="C53" s="86"/>
      <c r="D53" s="93" t="s">
        <v>151</v>
      </c>
      <c r="E53" s="86">
        <f>E52-B47</f>
        <v>7704421.1199999992</v>
      </c>
    </row>
    <row r="54" spans="1:5">
      <c r="A54" s="93" t="s">
        <v>152</v>
      </c>
      <c r="B54" s="110">
        <f>B53/D47</f>
        <v>1569.2284336381938</v>
      </c>
      <c r="C54" s="86"/>
      <c r="D54" s="93" t="s">
        <v>152</v>
      </c>
      <c r="E54" s="110">
        <f>E53/D47</f>
        <v>2082.8099810226668</v>
      </c>
    </row>
    <row r="55" spans="1:5">
      <c r="A55" s="93" t="s">
        <v>123</v>
      </c>
      <c r="B55" s="392">
        <v>3554.800048828125</v>
      </c>
      <c r="C55" s="86"/>
      <c r="D55" s="93" t="s">
        <v>123</v>
      </c>
      <c r="E55" s="392">
        <v>3554.800048828125</v>
      </c>
    </row>
    <row r="56" spans="1:5">
      <c r="A56" s="101"/>
      <c r="B56" s="101"/>
    </row>
    <row r="57" spans="1:5">
      <c r="A57" s="101"/>
      <c r="B57" s="101"/>
    </row>
    <row r="58" spans="1:5">
      <c r="A58" s="101"/>
      <c r="B58" s="101"/>
    </row>
    <row r="59" spans="1:5">
      <c r="A59" s="82" t="s">
        <v>146</v>
      </c>
      <c r="B59" s="101"/>
    </row>
    <row r="60" spans="1:5">
      <c r="A60" s="82" t="s">
        <v>153</v>
      </c>
      <c r="B60" s="101"/>
    </row>
    <row r="61" spans="1:5">
      <c r="A61" s="93" t="s">
        <v>148</v>
      </c>
      <c r="B61" s="86">
        <f>'Industry ratios'!F9</f>
        <v>35.951999999999998</v>
      </c>
      <c r="C61" s="86"/>
      <c r="D61" s="93" t="s">
        <v>148</v>
      </c>
      <c r="E61" s="86">
        <f>'Industry ratios'!F3</f>
        <v>35.33</v>
      </c>
    </row>
    <row r="62" spans="1:5">
      <c r="A62" s="93" t="s">
        <v>154</v>
      </c>
      <c r="B62" s="393">
        <f>TCS!F10/(D47*10)</f>
        <v>39.594746120331862</v>
      </c>
      <c r="C62" s="86"/>
      <c r="D62" s="93" t="s">
        <v>154</v>
      </c>
      <c r="E62" s="393">
        <f>TCS!F10/($D$47*10)</f>
        <v>39.594746120331862</v>
      </c>
    </row>
    <row r="63" spans="1:5">
      <c r="A63" s="93" t="s">
        <v>155</v>
      </c>
      <c r="B63" s="86">
        <f>B61*B62</f>
        <v>1423.5103125181711</v>
      </c>
      <c r="C63" s="86"/>
      <c r="D63" s="93" t="s">
        <v>155</v>
      </c>
      <c r="E63" s="86">
        <f>E61*E62</f>
        <v>1398.8823804313247</v>
      </c>
    </row>
    <row r="64" spans="1:5">
      <c r="A64" s="93" t="s">
        <v>123</v>
      </c>
      <c r="B64" s="376">
        <v>3554.800048828125</v>
      </c>
      <c r="C64" s="86"/>
      <c r="D64" s="93" t="s">
        <v>123</v>
      </c>
      <c r="E64" s="376">
        <v>3554.800048828125</v>
      </c>
    </row>
    <row r="65" spans="1:5">
      <c r="A65" s="101"/>
      <c r="B65" s="101"/>
    </row>
    <row r="66" spans="1:5">
      <c r="A66" s="101"/>
      <c r="B66" s="101"/>
    </row>
    <row r="67" spans="1:5">
      <c r="A67" s="101"/>
      <c r="B67" s="101"/>
    </row>
    <row r="68" spans="1:5">
      <c r="A68" s="101"/>
      <c r="B68" s="101"/>
    </row>
    <row r="69" spans="1:5">
      <c r="A69" s="77" t="s">
        <v>156</v>
      </c>
      <c r="B69" s="101"/>
    </row>
    <row r="70" spans="1:5">
      <c r="A70" s="77" t="s">
        <v>157</v>
      </c>
      <c r="B70" s="101"/>
    </row>
    <row r="71" spans="1:5">
      <c r="A71" s="86" t="s">
        <v>158</v>
      </c>
      <c r="B71" s="86">
        <f>'Industry ratios'!H9</f>
        <v>2.2650000000000001</v>
      </c>
      <c r="C71" s="86"/>
      <c r="D71" s="86" t="s">
        <v>158</v>
      </c>
      <c r="E71" s="86">
        <f>'Industry ratios'!H3</f>
        <v>2.4900000000000002</v>
      </c>
    </row>
    <row r="72" spans="1:5">
      <c r="A72" s="86" t="s">
        <v>159</v>
      </c>
      <c r="B72" s="94">
        <v>9.4499999999999993</v>
      </c>
      <c r="C72" s="86"/>
      <c r="D72" s="86" t="s">
        <v>159</v>
      </c>
      <c r="E72" s="94">
        <f>B72</f>
        <v>9.4499999999999993</v>
      </c>
    </row>
    <row r="73" spans="1:5">
      <c r="A73" s="86" t="s">
        <v>160</v>
      </c>
      <c r="B73" s="86">
        <f>B71*B72</f>
        <v>21.404250000000001</v>
      </c>
      <c r="C73" s="86"/>
      <c r="D73" s="86" t="s">
        <v>160</v>
      </c>
      <c r="E73" s="86">
        <f>E71*E72</f>
        <v>23.5305</v>
      </c>
    </row>
    <row r="74" spans="1:5">
      <c r="A74" s="93" t="s">
        <v>154</v>
      </c>
      <c r="B74" s="393">
        <f>B62</f>
        <v>39.594746120331862</v>
      </c>
      <c r="C74" s="86"/>
      <c r="D74" s="93" t="s">
        <v>154</v>
      </c>
      <c r="E74" s="393">
        <f>E62</f>
        <v>39.594746120331862</v>
      </c>
    </row>
    <row r="75" spans="1:5">
      <c r="A75" s="93" t="s">
        <v>155</v>
      </c>
      <c r="B75" s="86">
        <f>B73*B74</f>
        <v>847.49584464611326</v>
      </c>
      <c r="C75" s="86"/>
      <c r="D75" s="93" t="s">
        <v>155</v>
      </c>
      <c r="E75" s="86">
        <f>E73*E74</f>
        <v>931.68417358446891</v>
      </c>
    </row>
    <row r="76" spans="1:5">
      <c r="A76" s="93" t="s">
        <v>123</v>
      </c>
      <c r="B76" s="376">
        <v>3554.800048828125</v>
      </c>
      <c r="C76" s="86"/>
      <c r="D76" s="93" t="s">
        <v>123</v>
      </c>
      <c r="E76" s="376">
        <v>3554.800048828125</v>
      </c>
    </row>
    <row r="77" spans="1:5">
      <c r="A77" s="101"/>
      <c r="B77" s="101"/>
    </row>
    <row r="78" spans="1:5">
      <c r="A78" s="101"/>
      <c r="B78" s="101"/>
    </row>
    <row r="79" spans="1:5">
      <c r="A79" s="101"/>
      <c r="B79" s="101"/>
    </row>
    <row r="80" spans="1:5">
      <c r="A80" s="82" t="s">
        <v>146</v>
      </c>
      <c r="B80" s="101"/>
    </row>
    <row r="81" spans="1:5">
      <c r="A81" s="82" t="s">
        <v>161</v>
      </c>
      <c r="B81" s="101"/>
    </row>
    <row r="82" spans="1:5">
      <c r="A82" s="93" t="s">
        <v>148</v>
      </c>
      <c r="B82" s="86">
        <f>'Industry ratios'!J9</f>
        <v>8.3279999999999994</v>
      </c>
      <c r="C82" s="86"/>
      <c r="D82" s="93" t="s">
        <v>148</v>
      </c>
      <c r="E82" s="86">
        <f>'Industry ratios'!J3</f>
        <v>6.51</v>
      </c>
    </row>
    <row r="83" spans="1:5">
      <c r="A83" s="93" t="s">
        <v>147</v>
      </c>
      <c r="B83" s="86">
        <f>B82*TCS!F10</f>
        <v>12197438.639999999</v>
      </c>
      <c r="C83" s="86"/>
      <c r="D83" s="93" t="s">
        <v>147</v>
      </c>
      <c r="E83" s="86">
        <f>E82*TCS!F10</f>
        <v>9534741.2999999989</v>
      </c>
    </row>
    <row r="84" spans="1:5">
      <c r="A84" s="93" t="s">
        <v>151</v>
      </c>
      <c r="B84" s="86">
        <f>B83-B47</f>
        <v>12197399.639999999</v>
      </c>
      <c r="C84" s="86"/>
      <c r="D84" s="93" t="s">
        <v>151</v>
      </c>
      <c r="E84" s="86">
        <f>E83-B47</f>
        <v>9534702.2999999989</v>
      </c>
    </row>
    <row r="85" spans="1:5">
      <c r="A85" s="93" t="s">
        <v>152</v>
      </c>
      <c r="B85" s="394">
        <f>B84/D47</f>
        <v>3297.4399136575603</v>
      </c>
      <c r="C85" s="86"/>
      <c r="D85" s="93" t="s">
        <v>152</v>
      </c>
      <c r="E85" s="394">
        <f>E84/D47</f>
        <v>2577.6074291899267</v>
      </c>
    </row>
    <row r="86" spans="1:5">
      <c r="A86" s="93" t="s">
        <v>123</v>
      </c>
      <c r="B86" s="392">
        <v>3554.800048828125</v>
      </c>
      <c r="C86" s="86"/>
      <c r="D86" s="93" t="s">
        <v>123</v>
      </c>
      <c r="E86" s="392">
        <v>3554.800048828125</v>
      </c>
    </row>
  </sheetData>
  <mergeCells count="16">
    <mergeCell ref="J25:Q25"/>
    <mergeCell ref="O33:P33"/>
    <mergeCell ref="O43:P43"/>
    <mergeCell ref="O45:P45"/>
    <mergeCell ref="F44:G44"/>
    <mergeCell ref="F32:G32"/>
    <mergeCell ref="F42:G42"/>
    <mergeCell ref="A1:Q1"/>
    <mergeCell ref="O11:P11"/>
    <mergeCell ref="F11:G11"/>
    <mergeCell ref="F21:G21"/>
    <mergeCell ref="F23:G23"/>
    <mergeCell ref="O23:P23"/>
    <mergeCell ref="O21:P21"/>
    <mergeCell ref="A3:H3"/>
    <mergeCell ref="J3:Q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D57DB-4551-4B24-949F-D55A1A670321}">
  <dimension ref="A1:V41"/>
  <sheetViews>
    <sheetView topLeftCell="A25" workbookViewId="0">
      <selection activeCell="G6" sqref="G6"/>
    </sheetView>
  </sheetViews>
  <sheetFormatPr defaultRowHeight="12.7"/>
  <cols>
    <col min="5" max="5" width="11.44140625" customWidth="1"/>
    <col min="13" max="13" width="12.77734375" customWidth="1"/>
    <col min="21" max="21" width="11.109375" customWidth="1"/>
  </cols>
  <sheetData>
    <row r="1" spans="1:22">
      <c r="A1" s="65" t="s">
        <v>286</v>
      </c>
    </row>
    <row r="2" spans="1:22">
      <c r="C2" s="65" t="s">
        <v>293</v>
      </c>
      <c r="K2" s="65" t="s">
        <v>296</v>
      </c>
      <c r="S2" s="65" t="s">
        <v>295</v>
      </c>
    </row>
    <row r="3" spans="1:22">
      <c r="A3" s="499"/>
      <c r="B3" s="499"/>
      <c r="C3" s="499"/>
      <c r="D3" s="499" t="s">
        <v>292</v>
      </c>
      <c r="E3" s="499" t="s">
        <v>291</v>
      </c>
      <c r="F3" s="499" t="s">
        <v>290</v>
      </c>
      <c r="I3" s="499"/>
      <c r="J3" s="499"/>
      <c r="K3" s="499"/>
      <c r="L3" s="499" t="s">
        <v>292</v>
      </c>
      <c r="M3" s="499" t="s">
        <v>291</v>
      </c>
      <c r="N3" s="499" t="s">
        <v>290</v>
      </c>
      <c r="Q3" s="499"/>
      <c r="R3" s="499"/>
      <c r="S3" s="499"/>
      <c r="T3" s="499" t="s">
        <v>292</v>
      </c>
      <c r="U3" s="499" t="s">
        <v>291</v>
      </c>
      <c r="V3" s="499" t="s">
        <v>290</v>
      </c>
    </row>
    <row r="4" spans="1:22">
      <c r="A4" s="499" t="s">
        <v>297</v>
      </c>
      <c r="B4" s="499"/>
      <c r="C4" s="499"/>
      <c r="D4" s="499">
        <v>6423.6389914886777</v>
      </c>
      <c r="E4" s="499">
        <f>F4-D4</f>
        <v>2408.8646218082549</v>
      </c>
      <c r="F4" s="499">
        <v>8832.5036132969326</v>
      </c>
      <c r="I4" s="499" t="s">
        <v>297</v>
      </c>
      <c r="J4" s="499"/>
      <c r="K4" s="499"/>
      <c r="L4" s="499">
        <v>99.819000000000003</v>
      </c>
      <c r="M4" s="499">
        <f>N4-L4</f>
        <v>91.789000000000001</v>
      </c>
      <c r="N4" s="499">
        <v>191.608</v>
      </c>
      <c r="Q4" s="499" t="s">
        <v>297</v>
      </c>
      <c r="R4" s="499"/>
      <c r="S4" s="499"/>
      <c r="T4" s="499">
        <v>85.179000000000002</v>
      </c>
      <c r="U4" s="499">
        <f>V4-T4</f>
        <v>8.9740000000000038</v>
      </c>
      <c r="V4" s="499">
        <v>94.153000000000006</v>
      </c>
    </row>
    <row r="5" spans="1:22">
      <c r="A5" s="499" t="s">
        <v>287</v>
      </c>
      <c r="B5" s="499"/>
      <c r="C5" s="499"/>
      <c r="D5" s="499">
        <v>1389.2826553570092</v>
      </c>
      <c r="E5" s="499">
        <f t="shared" ref="E5:E9" si="0">F5-D5</f>
        <v>625.27412879396184</v>
      </c>
      <c r="F5" s="499">
        <v>2014.556784150971</v>
      </c>
      <c r="I5" s="499" t="s">
        <v>287</v>
      </c>
      <c r="J5" s="499"/>
      <c r="K5" s="499"/>
      <c r="L5" s="499">
        <v>643.58199999999999</v>
      </c>
      <c r="M5" s="499">
        <f t="shared" ref="M5:M9" si="1">N5-L5</f>
        <v>185.76599999999996</v>
      </c>
      <c r="N5" s="499">
        <v>829.34799999999996</v>
      </c>
      <c r="Q5" s="499" t="s">
        <v>287</v>
      </c>
      <c r="R5" s="499"/>
      <c r="S5" s="499"/>
      <c r="T5" s="499">
        <v>59.509</v>
      </c>
      <c r="U5" s="499">
        <f t="shared" ref="U5:U9" si="2">V5-T5</f>
        <v>124.152</v>
      </c>
      <c r="V5" s="499">
        <v>183.661</v>
      </c>
    </row>
    <row r="6" spans="1:22">
      <c r="A6" s="499" t="s">
        <v>288</v>
      </c>
      <c r="B6" s="499"/>
      <c r="C6" s="499"/>
      <c r="D6" s="499">
        <v>4497.0235199999997</v>
      </c>
      <c r="E6" s="499">
        <f t="shared" si="0"/>
        <v>3861.1984800000018</v>
      </c>
      <c r="F6" s="499">
        <v>8358.2220000000016</v>
      </c>
      <c r="I6" s="499" t="s">
        <v>288</v>
      </c>
      <c r="J6" s="499"/>
      <c r="K6" s="499"/>
      <c r="L6" s="499">
        <v>324.20060000000001</v>
      </c>
      <c r="M6" s="499">
        <f t="shared" si="1"/>
        <v>107.22339999999997</v>
      </c>
      <c r="N6" s="499">
        <v>431.42399999999998</v>
      </c>
      <c r="Q6" s="499" t="s">
        <v>288</v>
      </c>
      <c r="R6" s="499"/>
      <c r="S6" s="499"/>
      <c r="T6" s="499">
        <v>735.577</v>
      </c>
      <c r="U6" s="499">
        <f t="shared" si="2"/>
        <v>82.823000000000093</v>
      </c>
      <c r="V6" s="499">
        <v>818.40000000000009</v>
      </c>
    </row>
    <row r="7" spans="1:22">
      <c r="A7" s="499" t="s">
        <v>140</v>
      </c>
      <c r="B7" s="499"/>
      <c r="C7" s="499"/>
      <c r="D7" s="499">
        <v>1081.8744499759114</v>
      </c>
      <c r="E7" s="499">
        <f t="shared" si="0"/>
        <v>354.07656977677834</v>
      </c>
      <c r="F7" s="499">
        <v>1435.9510197526897</v>
      </c>
      <c r="I7" s="499" t="s">
        <v>140</v>
      </c>
      <c r="J7" s="499"/>
      <c r="K7" s="499"/>
      <c r="L7" s="499">
        <v>229.41</v>
      </c>
      <c r="M7" s="499">
        <f t="shared" si="1"/>
        <v>374.11400000000003</v>
      </c>
      <c r="N7" s="499">
        <v>603.524</v>
      </c>
      <c r="Q7" s="499" t="s">
        <v>140</v>
      </c>
      <c r="R7" s="499"/>
      <c r="S7" s="499"/>
      <c r="T7" s="499">
        <v>583.702</v>
      </c>
      <c r="U7" s="499">
        <f t="shared" si="2"/>
        <v>78.437000000000012</v>
      </c>
      <c r="V7" s="499">
        <v>662.13900000000001</v>
      </c>
    </row>
    <row r="8" spans="1:22">
      <c r="A8" s="499" t="s">
        <v>161</v>
      </c>
      <c r="B8" s="499"/>
      <c r="C8" s="499"/>
      <c r="D8" s="499">
        <v>2193.8602730046568</v>
      </c>
      <c r="E8" s="499">
        <f t="shared" si="0"/>
        <v>5709.0946009314284</v>
      </c>
      <c r="F8" s="499">
        <v>7902.9548739360853</v>
      </c>
      <c r="I8" s="499" t="s">
        <v>161</v>
      </c>
      <c r="J8" s="499"/>
      <c r="K8" s="499"/>
      <c r="L8" s="499">
        <v>178.053</v>
      </c>
      <c r="M8" s="499">
        <f t="shared" si="1"/>
        <v>673.28899999999999</v>
      </c>
      <c r="N8" s="499">
        <v>851.34199999999998</v>
      </c>
      <c r="Q8" s="499" t="s">
        <v>161</v>
      </c>
      <c r="R8" s="499"/>
      <c r="S8" s="499"/>
      <c r="T8" s="499">
        <v>406.447</v>
      </c>
      <c r="U8" s="499">
        <f t="shared" si="2"/>
        <v>8.2889999999999873</v>
      </c>
      <c r="V8" s="499">
        <v>414.73599999999999</v>
      </c>
    </row>
    <row r="9" spans="1:22">
      <c r="A9" s="499" t="s">
        <v>289</v>
      </c>
      <c r="B9" s="499"/>
      <c r="C9" s="499"/>
      <c r="D9" s="499">
        <v>2991</v>
      </c>
      <c r="E9" s="499">
        <f t="shared" si="0"/>
        <v>6429</v>
      </c>
      <c r="F9" s="499">
        <v>9420</v>
      </c>
      <c r="I9" s="499" t="s">
        <v>289</v>
      </c>
      <c r="J9" s="499"/>
      <c r="K9" s="499"/>
      <c r="L9" s="499">
        <v>262</v>
      </c>
      <c r="M9" s="499">
        <f t="shared" si="1"/>
        <v>425.25</v>
      </c>
      <c r="N9" s="499">
        <v>687.25</v>
      </c>
      <c r="Q9" s="499" t="s">
        <v>289</v>
      </c>
      <c r="R9" s="499"/>
      <c r="S9" s="499"/>
      <c r="T9" s="499">
        <v>162</v>
      </c>
      <c r="U9" s="499">
        <f t="shared" si="2"/>
        <v>647</v>
      </c>
      <c r="V9" s="499">
        <v>809</v>
      </c>
    </row>
    <row r="34" spans="1:14">
      <c r="C34" s="65" t="s">
        <v>294</v>
      </c>
      <c r="K34" s="65" t="s">
        <v>133</v>
      </c>
    </row>
    <row r="35" spans="1:14">
      <c r="A35" s="499"/>
      <c r="B35" s="499"/>
      <c r="C35" s="499"/>
      <c r="D35" s="499" t="s">
        <v>292</v>
      </c>
      <c r="E35" s="499" t="s">
        <v>291</v>
      </c>
      <c r="F35" s="499" t="s">
        <v>290</v>
      </c>
      <c r="I35" s="499"/>
      <c r="J35" s="499"/>
      <c r="K35" s="499"/>
      <c r="L35" s="499" t="s">
        <v>292</v>
      </c>
      <c r="M35" s="499" t="s">
        <v>291</v>
      </c>
      <c r="N35" s="499" t="s">
        <v>290</v>
      </c>
    </row>
    <row r="36" spans="1:14">
      <c r="A36" s="499" t="s">
        <v>297</v>
      </c>
      <c r="B36" s="499"/>
      <c r="C36" s="499"/>
      <c r="D36" s="499">
        <v>1003.169</v>
      </c>
      <c r="E36" s="499">
        <f>F36-D36</f>
        <v>299.63099999999997</v>
      </c>
      <c r="F36" s="499">
        <v>1302.8</v>
      </c>
      <c r="I36" s="499" t="s">
        <v>297</v>
      </c>
      <c r="J36" s="499"/>
      <c r="K36" s="499"/>
      <c r="L36" s="499">
        <v>1928.124</v>
      </c>
      <c r="M36" s="499">
        <f>N36-L36</f>
        <v>133.60200000000009</v>
      </c>
      <c r="N36" s="499">
        <v>2061.7260000000001</v>
      </c>
    </row>
    <row r="37" spans="1:14">
      <c r="A37" s="499" t="s">
        <v>287</v>
      </c>
      <c r="B37" s="499"/>
      <c r="C37" s="499"/>
      <c r="D37" s="499">
        <v>1257.1610000000001</v>
      </c>
      <c r="E37" s="499">
        <f t="shared" ref="E37:E41" si="3">F37-D37</f>
        <v>365.90999999999985</v>
      </c>
      <c r="F37" s="499">
        <v>1623.0709999999999</v>
      </c>
      <c r="I37" s="499" t="s">
        <v>287</v>
      </c>
      <c r="J37" s="499"/>
      <c r="K37" s="499"/>
      <c r="L37" s="499">
        <v>2194.123</v>
      </c>
      <c r="M37" s="499">
        <f t="shared" ref="M37:M41" si="4">N37-L37</f>
        <v>1977.2149999999997</v>
      </c>
      <c r="N37" s="499">
        <v>4171.3379999999997</v>
      </c>
    </row>
    <row r="38" spans="1:14">
      <c r="A38" s="499" t="s">
        <v>288</v>
      </c>
      <c r="B38" s="499"/>
      <c r="C38" s="499"/>
      <c r="D38" s="499">
        <v>4710.4309999999996</v>
      </c>
      <c r="E38" s="499">
        <f t="shared" si="3"/>
        <v>530.3690000000006</v>
      </c>
      <c r="F38" s="499">
        <v>5240.8</v>
      </c>
      <c r="I38" s="499" t="s">
        <v>288</v>
      </c>
      <c r="J38" s="499"/>
      <c r="K38" s="499"/>
      <c r="L38" s="499">
        <v>1398.8820000000001</v>
      </c>
      <c r="M38" s="499">
        <f t="shared" si="4"/>
        <v>24.627999999999929</v>
      </c>
      <c r="N38" s="499">
        <v>1423.51</v>
      </c>
    </row>
    <row r="39" spans="1:14">
      <c r="A39" s="499" t="s">
        <v>140</v>
      </c>
      <c r="B39" s="499"/>
      <c r="C39" s="499"/>
      <c r="D39" s="499">
        <v>976.93</v>
      </c>
      <c r="E39" s="499">
        <f t="shared" si="3"/>
        <v>645.01100000000008</v>
      </c>
      <c r="F39" s="499">
        <v>1621.941</v>
      </c>
      <c r="I39" s="499" t="s">
        <v>140</v>
      </c>
      <c r="J39" s="499"/>
      <c r="K39" s="499"/>
      <c r="L39" s="499">
        <v>1569.2280000000001</v>
      </c>
      <c r="M39" s="499">
        <f t="shared" si="4"/>
        <v>513.58100000000013</v>
      </c>
      <c r="N39" s="499">
        <v>2082.8090000000002</v>
      </c>
    </row>
    <row r="40" spans="1:14">
      <c r="A40" s="499" t="s">
        <v>161</v>
      </c>
      <c r="B40" s="499"/>
      <c r="C40" s="499"/>
      <c r="D40" s="499">
        <v>2541.6390000000001</v>
      </c>
      <c r="E40" s="499">
        <f t="shared" si="3"/>
        <v>3329.4709999999995</v>
      </c>
      <c r="F40" s="499">
        <v>5871.11</v>
      </c>
      <c r="I40" s="499" t="s">
        <v>161</v>
      </c>
      <c r="J40" s="499"/>
      <c r="K40" s="499"/>
      <c r="L40" s="499">
        <v>2577.607</v>
      </c>
      <c r="M40" s="499">
        <f t="shared" si="4"/>
        <v>719.83199999999988</v>
      </c>
      <c r="N40" s="499">
        <v>3297.4389999999999</v>
      </c>
    </row>
    <row r="41" spans="1:14">
      <c r="A41" s="499" t="s">
        <v>289</v>
      </c>
      <c r="B41" s="499"/>
      <c r="C41" s="499"/>
      <c r="D41" s="499">
        <v>3525</v>
      </c>
      <c r="E41" s="499">
        <f t="shared" si="3"/>
        <v>4063</v>
      </c>
      <c r="F41" s="499">
        <v>7588</v>
      </c>
      <c r="I41" s="499" t="s">
        <v>289</v>
      </c>
      <c r="J41" s="499"/>
      <c r="K41" s="499"/>
      <c r="L41" s="499">
        <v>3004</v>
      </c>
      <c r="M41" s="499">
        <f t="shared" si="4"/>
        <v>1039</v>
      </c>
      <c r="N41" s="499">
        <v>4043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5242B-2E13-486D-BDFB-E6DD4E27F27A}">
  <dimension ref="A1:J9"/>
  <sheetViews>
    <sheetView zoomScale="105" zoomScaleNormal="130" workbookViewId="0">
      <selection sqref="A1:J9"/>
    </sheetView>
  </sheetViews>
  <sheetFormatPr defaultRowHeight="12.7"/>
  <cols>
    <col min="1" max="1" width="17.109375" customWidth="1"/>
    <col min="4" max="4" width="12.109375" customWidth="1"/>
  </cols>
  <sheetData>
    <row r="1" spans="1:10">
      <c r="B1" s="93" t="s">
        <v>131</v>
      </c>
      <c r="C1" s="86"/>
      <c r="D1" s="93" t="s">
        <v>140</v>
      </c>
      <c r="E1" s="93"/>
      <c r="F1" s="93" t="s">
        <v>298</v>
      </c>
      <c r="G1" s="86"/>
      <c r="H1" s="93" t="s">
        <v>144</v>
      </c>
      <c r="I1" s="86"/>
      <c r="J1" s="93" t="s">
        <v>145</v>
      </c>
    </row>
    <row r="2" spans="1:10">
      <c r="A2" s="93" t="s">
        <v>132</v>
      </c>
      <c r="B2" s="395">
        <v>0.158</v>
      </c>
      <c r="C2" s="86"/>
      <c r="D2" s="86">
        <v>2.4479999999999995</v>
      </c>
      <c r="E2" s="86"/>
      <c r="F2" s="86">
        <v>36.06</v>
      </c>
      <c r="G2" s="86"/>
      <c r="H2" s="86">
        <v>1.0900000000000001</v>
      </c>
      <c r="I2" s="86"/>
      <c r="J2" s="86">
        <v>8.16</v>
      </c>
    </row>
    <row r="3" spans="1:10">
      <c r="A3" s="93" t="s">
        <v>133</v>
      </c>
      <c r="B3" s="395">
        <v>9.6799999999999997E-2</v>
      </c>
      <c r="C3" s="86"/>
      <c r="D3" s="86">
        <v>16.692</v>
      </c>
      <c r="E3" s="86"/>
      <c r="F3" s="86">
        <v>35.33</v>
      </c>
      <c r="G3" s="86"/>
      <c r="H3" s="86">
        <v>2.4900000000000002</v>
      </c>
      <c r="I3" s="86"/>
      <c r="J3" s="86">
        <v>6.51</v>
      </c>
    </row>
    <row r="4" spans="1:10">
      <c r="A4" s="93" t="s">
        <v>134</v>
      </c>
      <c r="B4" s="395">
        <v>0.13819999999999999</v>
      </c>
      <c r="C4" s="86"/>
      <c r="D4" s="86">
        <v>16.507999999999999</v>
      </c>
      <c r="E4" s="86"/>
      <c r="F4" s="86">
        <v>94.7</v>
      </c>
      <c r="G4" s="86"/>
      <c r="H4" s="86">
        <v>3.41</v>
      </c>
      <c r="I4" s="86"/>
      <c r="J4" s="86">
        <v>19.34</v>
      </c>
    </row>
    <row r="5" spans="1:10">
      <c r="A5" s="93" t="s">
        <v>135</v>
      </c>
      <c r="B5" s="395">
        <v>0.14760000000000001</v>
      </c>
      <c r="C5" s="86"/>
      <c r="D5" s="86">
        <v>19.502000000000002</v>
      </c>
      <c r="E5" s="86"/>
      <c r="F5" s="86">
        <v>-25.21</v>
      </c>
      <c r="G5" s="86"/>
      <c r="H5" s="86">
        <v>2.2000000000000002</v>
      </c>
      <c r="I5" s="86"/>
      <c r="J5" s="86">
        <v>1.69</v>
      </c>
    </row>
    <row r="6" spans="1:10">
      <c r="A6" s="93" t="s">
        <v>136</v>
      </c>
      <c r="B6" s="395">
        <v>0.1246</v>
      </c>
      <c r="C6" s="86"/>
      <c r="D6" s="86">
        <v>18.316000000000003</v>
      </c>
      <c r="E6" s="86"/>
      <c r="F6" s="86">
        <v>38.880000000000003</v>
      </c>
      <c r="G6" s="86"/>
      <c r="H6" s="86">
        <v>2.0699999999999998</v>
      </c>
      <c r="I6" s="86"/>
      <c r="J6" s="86">
        <v>5.94</v>
      </c>
    </row>
    <row r="7" spans="1:10">
      <c r="A7" s="86"/>
      <c r="B7" s="86"/>
      <c r="C7" s="86"/>
      <c r="D7" s="86"/>
      <c r="E7" s="86"/>
      <c r="F7" s="86"/>
      <c r="G7" s="86"/>
      <c r="H7" s="86"/>
      <c r="I7" s="86"/>
      <c r="J7" s="86"/>
    </row>
    <row r="8" spans="1:10">
      <c r="A8" s="86"/>
      <c r="B8" s="86"/>
      <c r="C8" s="86"/>
      <c r="D8" s="86"/>
      <c r="E8" s="86"/>
      <c r="F8" s="86"/>
      <c r="G8" s="86"/>
      <c r="H8" s="86"/>
      <c r="I8" s="86"/>
      <c r="J8" s="86"/>
    </row>
    <row r="9" spans="1:10">
      <c r="A9" s="93" t="s">
        <v>299</v>
      </c>
      <c r="B9" s="395">
        <f>AVERAGE(B2:B6)</f>
        <v>0.13303999999999999</v>
      </c>
      <c r="C9" s="86"/>
      <c r="D9" s="86">
        <f>AVERAGE(D2:D6)</f>
        <v>14.693200000000001</v>
      </c>
      <c r="E9" s="86"/>
      <c r="F9" s="86">
        <f>AVERAGE(F2:F6)</f>
        <v>35.951999999999998</v>
      </c>
      <c r="G9" s="86"/>
      <c r="H9" s="86">
        <f>AVERAGE(H2,H3,H4,H6)</f>
        <v>2.2650000000000001</v>
      </c>
      <c r="I9" s="86"/>
      <c r="J9" s="86">
        <f>AVERAGE(J2:J6)</f>
        <v>8.3279999999999994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O156"/>
  <sheetViews>
    <sheetView topLeftCell="A4" zoomScale="55" zoomScaleNormal="55" workbookViewId="0">
      <selection activeCell="P36" sqref="P36"/>
    </sheetView>
  </sheetViews>
  <sheetFormatPr defaultColWidth="12.6640625" defaultRowHeight="15.7" customHeight="1"/>
  <cols>
    <col min="1" max="1" width="36.88671875" customWidth="1"/>
    <col min="4" max="7" width="12.77734375" bestFit="1" customWidth="1"/>
    <col min="8" max="8" width="20" customWidth="1"/>
    <col min="9" max="9" width="12.77734375" bestFit="1" customWidth="1"/>
    <col min="10" max="10" width="30.6640625" customWidth="1"/>
    <col min="11" max="11" width="12.77734375" bestFit="1" customWidth="1"/>
    <col min="12" max="12" width="14.6640625" bestFit="1" customWidth="1"/>
    <col min="13" max="26" width="12.77734375" bestFit="1" customWidth="1"/>
  </cols>
  <sheetData>
    <row r="1" spans="1:41" ht="12.7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27" t="s">
        <v>20</v>
      </c>
    </row>
    <row r="2" spans="1:41" ht="14.4">
      <c r="A2" s="38">
        <v>15</v>
      </c>
      <c r="B2" s="38">
        <v>853.54</v>
      </c>
      <c r="C2" s="38">
        <v>180.71</v>
      </c>
      <c r="D2" s="38">
        <v>180.71</v>
      </c>
      <c r="E2" s="38">
        <v>155.97999999999999</v>
      </c>
      <c r="F2" s="38">
        <v>102.9</v>
      </c>
      <c r="G2" s="38">
        <v>849.4</v>
      </c>
      <c r="H2" s="38">
        <v>0</v>
      </c>
      <c r="I2" s="38">
        <v>31.14</v>
      </c>
      <c r="J2" s="38">
        <v>252.21</v>
      </c>
      <c r="K2" s="39"/>
      <c r="L2" s="39"/>
      <c r="M2" s="38">
        <v>171.24</v>
      </c>
      <c r="N2" s="38">
        <v>101.07</v>
      </c>
      <c r="O2" s="38">
        <v>132.80000000000001</v>
      </c>
      <c r="P2" s="38">
        <v>327.8</v>
      </c>
      <c r="Q2" s="38">
        <v>0.28999999999999998</v>
      </c>
      <c r="R2" s="38">
        <v>465.36</v>
      </c>
      <c r="S2" s="38">
        <v>154.08000000000001</v>
      </c>
      <c r="T2" s="38">
        <v>66.11</v>
      </c>
      <c r="U2" s="38">
        <v>465.36</v>
      </c>
    </row>
    <row r="3" spans="1:41" ht="14.4">
      <c r="A3" s="38">
        <v>16</v>
      </c>
      <c r="B3" s="38">
        <v>1087.07</v>
      </c>
      <c r="C3" s="38">
        <v>259.58</v>
      </c>
      <c r="D3" s="38">
        <v>258.95</v>
      </c>
      <c r="E3" s="38">
        <v>236.34</v>
      </c>
      <c r="F3" s="38">
        <v>154.81</v>
      </c>
      <c r="G3" s="38">
        <v>1075.21</v>
      </c>
      <c r="H3" s="38">
        <v>0.63</v>
      </c>
      <c r="I3" s="38">
        <v>31.14</v>
      </c>
      <c r="J3" s="38">
        <v>406.61</v>
      </c>
      <c r="K3" s="39"/>
      <c r="L3" s="39"/>
      <c r="M3" s="38">
        <v>139.85</v>
      </c>
      <c r="N3" s="38">
        <v>108.84</v>
      </c>
      <c r="O3" s="38">
        <v>182.45</v>
      </c>
      <c r="P3" s="38">
        <v>454.6</v>
      </c>
      <c r="Q3" s="39"/>
      <c r="R3" s="38">
        <v>600.16999999999996</v>
      </c>
      <c r="S3" s="38">
        <v>215.21</v>
      </c>
      <c r="T3" s="38">
        <v>83.49</v>
      </c>
      <c r="U3" s="38">
        <v>600.16999999999996</v>
      </c>
    </row>
    <row r="4" spans="1:41" ht="14.4">
      <c r="A4" s="38">
        <v>17</v>
      </c>
      <c r="B4" s="38">
        <v>1231.9000000000001</v>
      </c>
      <c r="C4" s="38">
        <v>291.18</v>
      </c>
      <c r="D4" s="38">
        <v>291.18</v>
      </c>
      <c r="E4" s="38">
        <v>264.26</v>
      </c>
      <c r="F4" s="38">
        <v>174.78</v>
      </c>
      <c r="G4" s="38">
        <v>1237.31</v>
      </c>
      <c r="H4" s="39"/>
      <c r="I4" s="38">
        <v>31.14</v>
      </c>
      <c r="J4" s="38">
        <v>526.53</v>
      </c>
      <c r="K4" s="39"/>
      <c r="L4" s="39"/>
      <c r="M4" s="38">
        <v>131.76</v>
      </c>
      <c r="N4" s="38">
        <v>108.84</v>
      </c>
      <c r="O4" s="38">
        <v>251.52</v>
      </c>
      <c r="P4" s="38">
        <v>566.52</v>
      </c>
      <c r="Q4" s="39"/>
      <c r="R4" s="38">
        <v>715.4</v>
      </c>
      <c r="S4" s="38">
        <v>244.81</v>
      </c>
      <c r="T4" s="38">
        <v>83.29</v>
      </c>
      <c r="U4" s="38">
        <v>715.4</v>
      </c>
    </row>
    <row r="5" spans="1:41" ht="14.4">
      <c r="A5" s="38">
        <v>18</v>
      </c>
      <c r="B5" s="38">
        <v>1429.54</v>
      </c>
      <c r="C5" s="38">
        <v>389.26</v>
      </c>
      <c r="D5" s="38">
        <v>389.26</v>
      </c>
      <c r="E5" s="38">
        <v>363.91</v>
      </c>
      <c r="F5" s="38">
        <v>240.04</v>
      </c>
      <c r="G5" s="38">
        <v>1386.3</v>
      </c>
      <c r="H5" s="39"/>
      <c r="I5" s="38">
        <v>62.28</v>
      </c>
      <c r="J5" s="38">
        <v>676.07</v>
      </c>
      <c r="K5" s="39"/>
      <c r="L5" s="39"/>
      <c r="M5" s="38">
        <v>187.69</v>
      </c>
      <c r="N5" s="38">
        <v>96.4</v>
      </c>
      <c r="O5" s="38">
        <v>394.34</v>
      </c>
      <c r="P5" s="38">
        <v>805.07</v>
      </c>
      <c r="Q5" s="39"/>
      <c r="R5" s="38">
        <v>944.89</v>
      </c>
      <c r="S5" s="38">
        <v>306.67</v>
      </c>
      <c r="T5" s="38">
        <v>44.99</v>
      </c>
      <c r="U5" s="38">
        <v>944.89</v>
      </c>
    </row>
    <row r="6" spans="1:41" ht="14.4">
      <c r="A6" s="38">
        <v>19</v>
      </c>
      <c r="B6" s="38">
        <v>1640.39</v>
      </c>
      <c r="C6" s="38">
        <v>458.5</v>
      </c>
      <c r="D6" s="38">
        <v>458.5</v>
      </c>
      <c r="E6" s="38">
        <v>433.4</v>
      </c>
      <c r="F6" s="38">
        <v>289.97000000000003</v>
      </c>
      <c r="G6" s="38">
        <v>1596.93</v>
      </c>
      <c r="H6" s="39"/>
      <c r="I6" s="38">
        <v>62.28</v>
      </c>
      <c r="J6" s="38">
        <v>880.48</v>
      </c>
      <c r="K6" s="39"/>
      <c r="L6" s="39"/>
      <c r="M6" s="38">
        <v>186.86</v>
      </c>
      <c r="N6" s="38">
        <v>101.63</v>
      </c>
      <c r="O6" s="38">
        <v>515.80999999999995</v>
      </c>
      <c r="P6" s="38">
        <v>1008.01</v>
      </c>
      <c r="Q6" s="38">
        <v>1.66</v>
      </c>
      <c r="R6" s="38">
        <v>1143.3900000000001</v>
      </c>
      <c r="S6" s="38">
        <v>356.54</v>
      </c>
      <c r="T6" s="38">
        <v>55.5</v>
      </c>
      <c r="U6" s="38">
        <v>1143.3900000000001</v>
      </c>
    </row>
    <row r="7" spans="1:41" ht="14.4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4"/>
      <c r="N7" s="19"/>
      <c r="O7" s="19"/>
      <c r="P7" s="19"/>
      <c r="Q7" s="19"/>
      <c r="R7" s="5"/>
      <c r="S7" s="19"/>
      <c r="T7" s="19"/>
      <c r="U7" s="19"/>
      <c r="V7" s="19"/>
    </row>
    <row r="8" spans="1:41" ht="15.7" customHeight="1" thickBot="1">
      <c r="A8" s="472"/>
      <c r="B8" s="472"/>
      <c r="C8" s="472"/>
      <c r="D8" s="472"/>
      <c r="E8" s="472"/>
      <c r="F8" s="472"/>
      <c r="G8" s="472"/>
      <c r="L8" s="472"/>
      <c r="M8" s="472"/>
      <c r="N8" s="472"/>
      <c r="O8" s="472"/>
      <c r="P8" s="472"/>
      <c r="Q8" s="472"/>
      <c r="R8" s="472"/>
      <c r="S8" s="472"/>
      <c r="T8" s="472"/>
      <c r="X8" s="472"/>
      <c r="Y8" s="472"/>
      <c r="Z8" s="472"/>
      <c r="AA8" s="472"/>
      <c r="AB8" s="472"/>
      <c r="AC8" s="472"/>
      <c r="AD8" s="472"/>
      <c r="AE8" s="472"/>
    </row>
    <row r="9" spans="1:41" ht="15.55" thickTop="1" thickBot="1">
      <c r="A9" s="417" t="s">
        <v>0</v>
      </c>
      <c r="B9" s="418">
        <v>15</v>
      </c>
      <c r="C9" s="418">
        <v>16</v>
      </c>
      <c r="D9" s="418">
        <v>17</v>
      </c>
      <c r="E9" s="418">
        <v>18</v>
      </c>
      <c r="F9" s="494">
        <v>19</v>
      </c>
      <c r="G9" s="498"/>
      <c r="L9" s="472"/>
      <c r="M9" s="454" t="s">
        <v>21</v>
      </c>
      <c r="N9" s="455"/>
      <c r="O9" s="455"/>
      <c r="P9" s="456">
        <v>15</v>
      </c>
      <c r="Q9" s="456">
        <v>16</v>
      </c>
      <c r="R9" s="456">
        <v>17</v>
      </c>
      <c r="S9" s="456">
        <v>18</v>
      </c>
      <c r="T9" s="456">
        <v>19</v>
      </c>
      <c r="X9" s="454" t="s">
        <v>21</v>
      </c>
      <c r="Y9" s="455"/>
      <c r="Z9" s="455"/>
      <c r="AA9" s="456">
        <v>15</v>
      </c>
      <c r="AB9" s="456">
        <v>16</v>
      </c>
      <c r="AC9" s="456">
        <v>17</v>
      </c>
      <c r="AD9" s="456">
        <v>18</v>
      </c>
      <c r="AE9" s="456">
        <v>19</v>
      </c>
    </row>
    <row r="10" spans="1:41" ht="15.55" thickTop="1" thickBot="1">
      <c r="A10" s="32" t="s">
        <v>1</v>
      </c>
      <c r="B10" s="45">
        <v>853.54</v>
      </c>
      <c r="C10" s="45">
        <v>1087.07</v>
      </c>
      <c r="D10" s="45">
        <v>1231.9000000000001</v>
      </c>
      <c r="E10" s="45">
        <v>1429.54</v>
      </c>
      <c r="F10" s="495">
        <v>1640.39</v>
      </c>
      <c r="G10" s="498"/>
      <c r="L10" s="472"/>
      <c r="M10" s="509" t="s">
        <v>22</v>
      </c>
      <c r="N10" s="503"/>
      <c r="O10" s="503"/>
      <c r="P10" s="503"/>
      <c r="Q10" s="503"/>
      <c r="R10" s="503"/>
      <c r="S10" s="503"/>
      <c r="T10" s="504"/>
      <c r="X10" s="509" t="s">
        <v>23</v>
      </c>
      <c r="Y10" s="503"/>
      <c r="Z10" s="503"/>
      <c r="AA10" s="503"/>
      <c r="AB10" s="503"/>
      <c r="AC10" s="503"/>
      <c r="AD10" s="503"/>
      <c r="AE10" s="504"/>
    </row>
    <row r="11" spans="1:41" ht="15.55" thickTop="1" thickBot="1">
      <c r="A11" s="32" t="s">
        <v>2</v>
      </c>
      <c r="B11" s="45">
        <v>180.71</v>
      </c>
      <c r="C11" s="45">
        <v>259.58</v>
      </c>
      <c r="D11" s="45">
        <v>291.18</v>
      </c>
      <c r="E11" s="45">
        <v>389.26</v>
      </c>
      <c r="F11" s="495">
        <v>458.5</v>
      </c>
      <c r="G11" s="498"/>
      <c r="L11" s="472"/>
      <c r="M11" s="506" t="s">
        <v>24</v>
      </c>
      <c r="N11" s="503"/>
      <c r="O11" s="504"/>
      <c r="P11" s="396"/>
      <c r="Q11" s="396"/>
      <c r="R11" s="396"/>
      <c r="S11" s="396"/>
      <c r="T11" s="396"/>
      <c r="X11" s="396"/>
      <c r="Y11" s="396"/>
      <c r="Z11" s="396"/>
      <c r="AA11" s="396"/>
      <c r="AB11" s="396"/>
      <c r="AC11" s="396"/>
      <c r="AD11" s="396"/>
      <c r="AE11" s="396"/>
      <c r="AO11" s="19"/>
    </row>
    <row r="12" spans="1:41" ht="17.3" thickTop="1" thickBot="1">
      <c r="A12" s="32" t="s">
        <v>3</v>
      </c>
      <c r="B12" s="45">
        <v>180.71</v>
      </c>
      <c r="C12" s="45">
        <v>258.95</v>
      </c>
      <c r="D12" s="45">
        <v>291.18</v>
      </c>
      <c r="E12" s="45">
        <v>389.26</v>
      </c>
      <c r="F12" s="495">
        <v>458.5</v>
      </c>
      <c r="G12" s="498"/>
      <c r="L12" s="472"/>
      <c r="M12" s="508" t="s">
        <v>25</v>
      </c>
      <c r="N12" s="504"/>
      <c r="O12" s="396"/>
      <c r="P12" s="399">
        <f>B10</f>
        <v>853.54</v>
      </c>
      <c r="Q12" s="399">
        <f>C10</f>
        <v>1087.07</v>
      </c>
      <c r="R12" s="399">
        <f>D10</f>
        <v>1231.9000000000001</v>
      </c>
      <c r="S12" s="399">
        <f>E10</f>
        <v>1429.54</v>
      </c>
      <c r="T12" s="399">
        <f>F10</f>
        <v>1640.39</v>
      </c>
      <c r="X12" s="457" t="s">
        <v>26</v>
      </c>
      <c r="Y12" s="396"/>
      <c r="Z12" s="396"/>
      <c r="AA12" s="396"/>
      <c r="AB12" s="396"/>
      <c r="AC12" s="396"/>
      <c r="AD12" s="396"/>
      <c r="AE12" s="396"/>
    </row>
    <row r="13" spans="1:41" ht="17.3" thickTop="1" thickBot="1">
      <c r="A13" s="32" t="s">
        <v>4</v>
      </c>
      <c r="B13" s="45">
        <v>155.97999999999999</v>
      </c>
      <c r="C13" s="45">
        <v>236.34</v>
      </c>
      <c r="D13" s="45">
        <v>264.26</v>
      </c>
      <c r="E13" s="45">
        <v>363.91</v>
      </c>
      <c r="F13" s="495">
        <v>433.4</v>
      </c>
      <c r="G13" s="498"/>
      <c r="L13" s="472"/>
      <c r="M13" s="396"/>
      <c r="N13" s="506" t="s">
        <v>27</v>
      </c>
      <c r="O13" s="504"/>
      <c r="P13" s="399">
        <f>P12-P14</f>
        <v>4.1399999999999864</v>
      </c>
      <c r="Q13" s="399">
        <f>Q12-Q14</f>
        <v>11.8599999999999</v>
      </c>
      <c r="R13" s="399">
        <f>R12-R14</f>
        <v>-5.4099999999998545</v>
      </c>
      <c r="S13" s="399">
        <f>S12-S14</f>
        <v>43.240000000000009</v>
      </c>
      <c r="T13" s="399">
        <f>T12-T14</f>
        <v>43.460000000000036</v>
      </c>
      <c r="X13" s="502" t="s">
        <v>28</v>
      </c>
      <c r="Y13" s="503"/>
      <c r="Z13" s="504"/>
      <c r="AA13" s="399">
        <f>B22</f>
        <v>101.07</v>
      </c>
      <c r="AB13" s="399">
        <f>C22</f>
        <v>108.84</v>
      </c>
      <c r="AC13" s="399">
        <f>D22</f>
        <v>108.84</v>
      </c>
      <c r="AD13" s="399">
        <f>E22</f>
        <v>96.4</v>
      </c>
      <c r="AE13" s="399">
        <f>F22</f>
        <v>101.63</v>
      </c>
    </row>
    <row r="14" spans="1:41" ht="16.7" thickTop="1" thickBot="1">
      <c r="A14" s="32" t="s">
        <v>5</v>
      </c>
      <c r="B14" s="45">
        <v>102.9</v>
      </c>
      <c r="C14" s="45">
        <v>154.81</v>
      </c>
      <c r="D14" s="45">
        <v>174.78</v>
      </c>
      <c r="E14" s="45">
        <v>240.04</v>
      </c>
      <c r="F14" s="495">
        <v>289.97000000000003</v>
      </c>
      <c r="G14" s="498"/>
      <c r="L14" s="472"/>
      <c r="M14" s="508" t="s">
        <v>29</v>
      </c>
      <c r="N14" s="503"/>
      <c r="O14" s="504"/>
      <c r="P14" s="399">
        <f>B15</f>
        <v>849.4</v>
      </c>
      <c r="Q14" s="399">
        <f>C15</f>
        <v>1075.21</v>
      </c>
      <c r="R14" s="399">
        <f>D15</f>
        <v>1237.31</v>
      </c>
      <c r="S14" s="399">
        <f>E15</f>
        <v>1386.3</v>
      </c>
      <c r="T14" s="399">
        <f>F15</f>
        <v>1596.93</v>
      </c>
      <c r="X14" s="458" t="s">
        <v>30</v>
      </c>
      <c r="Y14" s="396"/>
      <c r="Z14" s="396"/>
      <c r="AA14" s="400">
        <f>P12/AA13</f>
        <v>8.4450380924112007</v>
      </c>
      <c r="AB14" s="400">
        <f>Q12/AB13</f>
        <v>9.9877802278574048</v>
      </c>
      <c r="AC14" s="400">
        <f>R12/AC13</f>
        <v>11.318449099595737</v>
      </c>
      <c r="AD14" s="400">
        <f>S12/AD13</f>
        <v>14.829253112033193</v>
      </c>
      <c r="AE14" s="400">
        <f>T12/AE13</f>
        <v>16.140804880448687</v>
      </c>
    </row>
    <row r="15" spans="1:41" ht="17.3" customHeight="1" thickTop="1" thickBot="1">
      <c r="A15" s="32" t="s">
        <v>6</v>
      </c>
      <c r="B15" s="45">
        <v>849.4</v>
      </c>
      <c r="C15" s="45">
        <v>1075.21</v>
      </c>
      <c r="D15" s="45">
        <v>1237.31</v>
      </c>
      <c r="E15" s="45">
        <v>1386.3</v>
      </c>
      <c r="F15" s="495">
        <v>1596.93</v>
      </c>
      <c r="G15" s="498"/>
      <c r="L15" s="472"/>
      <c r="M15" s="396"/>
      <c r="N15" s="506" t="s">
        <v>31</v>
      </c>
      <c r="O15" s="504"/>
      <c r="P15" s="399">
        <f>P12-P17</f>
        <v>668.68999999999994</v>
      </c>
      <c r="Q15" s="399">
        <f>Q12-Q17</f>
        <v>815.63000000000011</v>
      </c>
      <c r="R15" s="399">
        <f>R12-R17</f>
        <v>946.12999999999988</v>
      </c>
      <c r="S15" s="399">
        <f>S12-S17</f>
        <v>997.04</v>
      </c>
      <c r="T15" s="399">
        <f>T12-T17</f>
        <v>1138.43</v>
      </c>
      <c r="X15" s="502" t="s">
        <v>32</v>
      </c>
      <c r="Y15" s="503"/>
      <c r="Z15" s="504"/>
      <c r="AA15" s="399">
        <f>B24</f>
        <v>327.8</v>
      </c>
      <c r="AB15" s="399">
        <f>C24</f>
        <v>454.6</v>
      </c>
      <c r="AC15" s="399">
        <f>D24</f>
        <v>566.52</v>
      </c>
      <c r="AD15" s="399">
        <f>E24</f>
        <v>805.07</v>
      </c>
      <c r="AE15" s="399">
        <f>F24</f>
        <v>1008.01</v>
      </c>
      <c r="AN15" s="48"/>
    </row>
    <row r="16" spans="1:41" ht="17.3" thickTop="1" thickBot="1">
      <c r="A16" s="32" t="s">
        <v>7</v>
      </c>
      <c r="B16" s="45">
        <v>0</v>
      </c>
      <c r="C16" s="45">
        <v>0.63</v>
      </c>
      <c r="D16" s="47"/>
      <c r="E16" s="47"/>
      <c r="F16" s="496"/>
      <c r="G16" s="498"/>
      <c r="L16" s="472"/>
      <c r="M16" s="396"/>
      <c r="N16" s="506" t="s">
        <v>33</v>
      </c>
      <c r="O16" s="504"/>
      <c r="P16" s="400">
        <f>P15/P12</f>
        <v>0.78343135646835527</v>
      </c>
      <c r="Q16" s="400">
        <f>Q15/Q12</f>
        <v>0.75030126854756374</v>
      </c>
      <c r="R16" s="400">
        <f>R15/R12</f>
        <v>0.7680250020293854</v>
      </c>
      <c r="S16" s="400">
        <f>S15/S12</f>
        <v>0.69745512542496191</v>
      </c>
      <c r="T16" s="400">
        <f>T15/T12</f>
        <v>0.69399959765665487</v>
      </c>
      <c r="X16" s="502" t="s">
        <v>34</v>
      </c>
      <c r="Y16" s="503"/>
      <c r="Z16" s="504"/>
      <c r="AA16" s="399">
        <f>B23</f>
        <v>132.80000000000001</v>
      </c>
      <c r="AB16" s="399">
        <f>C23</f>
        <v>182.45</v>
      </c>
      <c r="AC16" s="399">
        <f>D23</f>
        <v>251.52</v>
      </c>
      <c r="AD16" s="399">
        <f>E23</f>
        <v>394.34</v>
      </c>
      <c r="AE16" s="399">
        <f>F23</f>
        <v>515.80999999999995</v>
      </c>
    </row>
    <row r="17" spans="1:40" ht="16.7" thickTop="1" thickBot="1">
      <c r="A17" s="32" t="s">
        <v>8</v>
      </c>
      <c r="B17" s="45">
        <v>31.14</v>
      </c>
      <c r="C17" s="45">
        <v>31.14</v>
      </c>
      <c r="D17" s="45">
        <v>31.14</v>
      </c>
      <c r="E17" s="45">
        <v>62.28</v>
      </c>
      <c r="F17" s="495">
        <v>62.28</v>
      </c>
      <c r="G17" s="498"/>
      <c r="L17" s="472"/>
      <c r="M17" s="506" t="s">
        <v>35</v>
      </c>
      <c r="N17" s="503"/>
      <c r="O17" s="504"/>
      <c r="P17" s="399">
        <f>P19+P13</f>
        <v>184.85</v>
      </c>
      <c r="Q17" s="399">
        <f>Q19+Q13</f>
        <v>271.43999999999988</v>
      </c>
      <c r="R17" s="399">
        <f>R19+R13</f>
        <v>285.77000000000015</v>
      </c>
      <c r="S17" s="399">
        <f>S19+S13</f>
        <v>432.5</v>
      </c>
      <c r="T17" s="399">
        <f>T19+T13</f>
        <v>501.96000000000004</v>
      </c>
      <c r="X17" s="458" t="s">
        <v>36</v>
      </c>
      <c r="Y17" s="396"/>
      <c r="Z17" s="396"/>
      <c r="AA17" s="400">
        <f t="shared" ref="AA17:AE17" si="0">AA16/AA23</f>
        <v>0.28537046587588105</v>
      </c>
      <c r="AB17" s="400">
        <f t="shared" si="0"/>
        <v>0.3039972007931086</v>
      </c>
      <c r="AC17" s="400">
        <f t="shared" si="0"/>
        <v>0.35157953592395863</v>
      </c>
      <c r="AD17" s="400">
        <f t="shared" si="0"/>
        <v>0.41733958450189967</v>
      </c>
      <c r="AE17" s="400">
        <f t="shared" si="0"/>
        <v>0.4511234137083584</v>
      </c>
    </row>
    <row r="18" spans="1:40" ht="17.3" thickTop="1" thickBot="1">
      <c r="A18" s="32" t="s">
        <v>9</v>
      </c>
      <c r="B18" s="45">
        <v>252.21</v>
      </c>
      <c r="C18" s="45">
        <v>406.61</v>
      </c>
      <c r="D18" s="45">
        <v>526.53</v>
      </c>
      <c r="E18" s="45">
        <v>676.07</v>
      </c>
      <c r="F18" s="495">
        <v>880.48</v>
      </c>
      <c r="G18" s="498"/>
      <c r="L18" s="472"/>
      <c r="M18" s="396"/>
      <c r="N18" s="506" t="s">
        <v>37</v>
      </c>
      <c r="O18" s="504"/>
      <c r="P18" s="400">
        <f>P17/P12</f>
        <v>0.21656864353164468</v>
      </c>
      <c r="Q18" s="400">
        <f>Q17/Q12</f>
        <v>0.24969873145243626</v>
      </c>
      <c r="R18" s="400">
        <f>R17/R12</f>
        <v>0.2319749979706146</v>
      </c>
      <c r="S18" s="400">
        <f>S17/S12</f>
        <v>0.30254487457503815</v>
      </c>
      <c r="T18" s="400">
        <f>T17/T12</f>
        <v>0.30600040234334519</v>
      </c>
      <c r="X18" s="502" t="s">
        <v>38</v>
      </c>
      <c r="Y18" s="503"/>
      <c r="Z18" s="504"/>
      <c r="AA18" s="399">
        <f>B27</f>
        <v>154.08000000000001</v>
      </c>
      <c r="AB18" s="399">
        <f>C27</f>
        <v>215.21</v>
      </c>
      <c r="AC18" s="399">
        <f>D27</f>
        <v>244.81</v>
      </c>
      <c r="AD18" s="399">
        <f>E27</f>
        <v>306.67</v>
      </c>
      <c r="AE18" s="399">
        <f>F27</f>
        <v>356.54</v>
      </c>
    </row>
    <row r="19" spans="1:40" ht="16.7" thickTop="1" thickBot="1">
      <c r="A19" s="32" t="s">
        <v>10</v>
      </c>
      <c r="B19" s="47"/>
      <c r="C19" s="47"/>
      <c r="D19" s="47"/>
      <c r="E19" s="47"/>
      <c r="F19" s="496"/>
      <c r="G19" s="498"/>
      <c r="L19" s="472"/>
      <c r="M19" s="508" t="s">
        <v>39</v>
      </c>
      <c r="N19" s="504"/>
      <c r="O19" s="396"/>
      <c r="P19" s="399">
        <f>B11</f>
        <v>180.71</v>
      </c>
      <c r="Q19" s="399">
        <f>C11</f>
        <v>259.58</v>
      </c>
      <c r="R19" s="399">
        <f>D11</f>
        <v>291.18</v>
      </c>
      <c r="S19" s="399">
        <f>E11</f>
        <v>389.26</v>
      </c>
      <c r="T19" s="399">
        <f>F11</f>
        <v>458.5</v>
      </c>
      <c r="X19" s="458" t="s">
        <v>40</v>
      </c>
      <c r="Y19" s="396"/>
      <c r="Z19" s="396"/>
      <c r="AA19" s="400">
        <f>P12/AA18</f>
        <v>5.5395898234683276</v>
      </c>
      <c r="AB19" s="400">
        <f>Q12/AB18</f>
        <v>5.0512057989870351</v>
      </c>
      <c r="AC19" s="400">
        <f>R12/AC18</f>
        <v>5.0320656835913571</v>
      </c>
      <c r="AD19" s="400">
        <f>S12/AD18</f>
        <v>4.6614928098607624</v>
      </c>
      <c r="AE19" s="400">
        <f>T12/AE18</f>
        <v>4.6008582487238456</v>
      </c>
    </row>
    <row r="20" spans="1:40" ht="17.3" thickTop="1" thickBot="1">
      <c r="A20" s="32" t="s">
        <v>11</v>
      </c>
      <c r="B20" s="47"/>
      <c r="C20" s="47"/>
      <c r="D20" s="47"/>
      <c r="E20" s="47"/>
      <c r="F20" s="496"/>
      <c r="G20" s="498"/>
      <c r="L20" s="472"/>
      <c r="M20" s="396"/>
      <c r="N20" s="506" t="s">
        <v>41</v>
      </c>
      <c r="O20" s="504"/>
      <c r="P20" s="400">
        <f>P19/P12</f>
        <v>0.21171825573493921</v>
      </c>
      <c r="Q20" s="400">
        <f>Q19/Q12</f>
        <v>0.23878867046280369</v>
      </c>
      <c r="R20" s="400">
        <f>R19/R12</f>
        <v>0.23636658819709391</v>
      </c>
      <c r="S20" s="400">
        <f>S19/S12</f>
        <v>0.27229738237474993</v>
      </c>
      <c r="T20" s="400">
        <f>T19/T12</f>
        <v>0.279506702674364</v>
      </c>
      <c r="X20" s="502" t="s">
        <v>16</v>
      </c>
      <c r="Y20" s="504"/>
      <c r="Z20" s="396"/>
      <c r="AA20" s="399"/>
      <c r="AB20" s="399"/>
      <c r="AC20" s="399"/>
      <c r="AD20" s="399"/>
      <c r="AE20" s="399"/>
    </row>
    <row r="21" spans="1:40" ht="16.7" thickTop="1" thickBot="1">
      <c r="A21" s="32" t="s">
        <v>12</v>
      </c>
      <c r="B21" s="45">
        <v>171.24</v>
      </c>
      <c r="C21" s="45">
        <v>139.85</v>
      </c>
      <c r="D21" s="45">
        <v>131.76</v>
      </c>
      <c r="E21" s="45">
        <v>187.69</v>
      </c>
      <c r="F21" s="495">
        <v>186.86</v>
      </c>
      <c r="G21" s="498"/>
      <c r="L21" s="472"/>
      <c r="M21" s="396"/>
      <c r="N21" s="506" t="s">
        <v>42</v>
      </c>
      <c r="O21" s="504"/>
      <c r="P21" s="399">
        <f>P19-P22-P26</f>
        <v>0</v>
      </c>
      <c r="Q21" s="399">
        <f>Q19-Q22-Q26</f>
        <v>-4.5519144009631418E-15</v>
      </c>
      <c r="R21" s="399">
        <f>R19-R22-R26</f>
        <v>0</v>
      </c>
      <c r="S21" s="399">
        <f>S19-S22-S26</f>
        <v>0</v>
      </c>
      <c r="T21" s="399">
        <f>T19-T22-T26</f>
        <v>0</v>
      </c>
      <c r="X21" s="458" t="s">
        <v>43</v>
      </c>
      <c r="Y21" s="396"/>
      <c r="Z21" s="396"/>
      <c r="AA21" s="400"/>
      <c r="AB21" s="400"/>
      <c r="AC21" s="400"/>
      <c r="AD21" s="400"/>
      <c r="AE21" s="400"/>
    </row>
    <row r="22" spans="1:40" ht="15.55" thickTop="1" thickBot="1">
      <c r="A22" s="32" t="s">
        <v>13</v>
      </c>
      <c r="B22" s="45">
        <v>101.07</v>
      </c>
      <c r="C22" s="45">
        <v>108.84</v>
      </c>
      <c r="D22" s="45">
        <v>108.84</v>
      </c>
      <c r="E22" s="45">
        <v>96.4</v>
      </c>
      <c r="F22" s="495">
        <v>101.63</v>
      </c>
      <c r="G22" s="498"/>
      <c r="L22" s="472"/>
      <c r="M22" s="508" t="s">
        <v>44</v>
      </c>
      <c r="N22" s="504"/>
      <c r="O22" s="396"/>
      <c r="P22" s="399">
        <f>B12</f>
        <v>180.71</v>
      </c>
      <c r="Q22" s="399">
        <f>C12</f>
        <v>258.95</v>
      </c>
      <c r="R22" s="399">
        <f>D12</f>
        <v>291.18</v>
      </c>
      <c r="S22" s="399">
        <f>E12</f>
        <v>389.26</v>
      </c>
      <c r="T22" s="399">
        <f>F12</f>
        <v>458.5</v>
      </c>
      <c r="X22" s="396"/>
      <c r="Y22" s="396"/>
      <c r="Z22" s="396"/>
      <c r="AA22" s="396"/>
      <c r="AB22" s="396"/>
      <c r="AC22" s="396"/>
      <c r="AD22" s="396"/>
      <c r="AE22" s="396"/>
    </row>
    <row r="23" spans="1:40" ht="17.3" thickTop="1" thickBot="1">
      <c r="A23" s="32" t="s">
        <v>14</v>
      </c>
      <c r="B23" s="45">
        <v>132.80000000000001</v>
      </c>
      <c r="C23" s="45">
        <v>182.45</v>
      </c>
      <c r="D23" s="45">
        <v>251.52</v>
      </c>
      <c r="E23" s="45">
        <v>394.34</v>
      </c>
      <c r="F23" s="495">
        <v>515.80999999999995</v>
      </c>
      <c r="G23" s="498"/>
      <c r="L23" s="472"/>
      <c r="M23" s="396"/>
      <c r="N23" s="506" t="s">
        <v>45</v>
      </c>
      <c r="O23" s="504"/>
      <c r="P23" s="399">
        <f>P19-P21-P24</f>
        <v>24.730000000000018</v>
      </c>
      <c r="Q23" s="399">
        <f>Q19-Q21-Q24</f>
        <v>22.609999999999985</v>
      </c>
      <c r="R23" s="399">
        <f>R19-R21-R24</f>
        <v>26.920000000000016</v>
      </c>
      <c r="S23" s="399">
        <f>S19-S21-S24</f>
        <v>25.349999999999966</v>
      </c>
      <c r="T23" s="399">
        <f>T19-T21-T24</f>
        <v>25.100000000000023</v>
      </c>
      <c r="X23" s="502" t="s">
        <v>46</v>
      </c>
      <c r="Y23" s="504"/>
      <c r="Z23" s="396"/>
      <c r="AA23" s="399">
        <f>B26</f>
        <v>465.36</v>
      </c>
      <c r="AB23" s="399">
        <f>C26</f>
        <v>600.16999999999996</v>
      </c>
      <c r="AC23" s="399">
        <f>D26</f>
        <v>715.4</v>
      </c>
      <c r="AD23" s="399">
        <f>E26</f>
        <v>944.89</v>
      </c>
      <c r="AE23" s="399">
        <f>F26</f>
        <v>1143.3900000000001</v>
      </c>
    </row>
    <row r="24" spans="1:40" ht="15.55" thickTop="1" thickBot="1">
      <c r="A24" s="32" t="s">
        <v>15</v>
      </c>
      <c r="B24" s="45">
        <v>327.8</v>
      </c>
      <c r="C24" s="45">
        <v>454.6</v>
      </c>
      <c r="D24" s="45">
        <v>566.52</v>
      </c>
      <c r="E24" s="45">
        <v>805.07</v>
      </c>
      <c r="F24" s="495">
        <v>1008.01</v>
      </c>
      <c r="G24" s="498"/>
      <c r="L24" s="472"/>
      <c r="M24" s="506" t="s">
        <v>47</v>
      </c>
      <c r="N24" s="504"/>
      <c r="O24" s="396"/>
      <c r="P24" s="399">
        <f>P26+P27</f>
        <v>155.97999999999999</v>
      </c>
      <c r="Q24" s="399">
        <f>Q26+Q27</f>
        <v>236.97</v>
      </c>
      <c r="R24" s="399">
        <f>R26+R27</f>
        <v>264.26</v>
      </c>
      <c r="S24" s="399">
        <f>S26+S27</f>
        <v>363.91</v>
      </c>
      <c r="T24" s="399">
        <f>T26+T27</f>
        <v>433.4</v>
      </c>
      <c r="X24" s="396"/>
      <c r="Y24" s="396"/>
      <c r="Z24" s="396"/>
      <c r="AA24" s="396"/>
      <c r="AB24" s="396"/>
      <c r="AC24" s="396"/>
      <c r="AD24" s="396"/>
      <c r="AE24" s="396"/>
    </row>
    <row r="25" spans="1:40" ht="17.3" thickTop="1" thickBot="1">
      <c r="A25" s="32" t="s">
        <v>16</v>
      </c>
      <c r="B25" s="45">
        <v>0.28999999999999998</v>
      </c>
      <c r="C25" s="47"/>
      <c r="D25" s="47"/>
      <c r="E25" s="47"/>
      <c r="F25" s="495">
        <v>1.66</v>
      </c>
      <c r="G25" s="498"/>
      <c r="L25" s="472"/>
      <c r="M25" s="396"/>
      <c r="N25" s="506" t="s">
        <v>48</v>
      </c>
      <c r="O25" s="504"/>
      <c r="P25" s="400">
        <f>P24/P12</f>
        <v>0.18274480399278301</v>
      </c>
      <c r="Q25" s="400">
        <f>Q24/Q12</f>
        <v>0.21798964188138759</v>
      </c>
      <c r="R25" s="400">
        <f>R24/R12</f>
        <v>0.21451416511080443</v>
      </c>
      <c r="S25" s="400">
        <f>S24/S12</f>
        <v>0.25456440533318414</v>
      </c>
      <c r="T25" s="400">
        <f>T24/T12</f>
        <v>0.26420546333493861</v>
      </c>
      <c r="X25" s="505" t="s">
        <v>49</v>
      </c>
      <c r="Y25" s="503"/>
      <c r="Z25" s="504"/>
      <c r="AA25" s="396"/>
      <c r="AB25" s="396"/>
      <c r="AC25" s="396"/>
      <c r="AD25" s="396"/>
      <c r="AE25" s="396"/>
    </row>
    <row r="26" spans="1:40" ht="17.3" thickTop="1" thickBot="1">
      <c r="A26" s="32" t="s">
        <v>17</v>
      </c>
      <c r="B26" s="45">
        <v>465.36</v>
      </c>
      <c r="C26" s="45">
        <v>600.16999999999996</v>
      </c>
      <c r="D26" s="45">
        <v>715.4</v>
      </c>
      <c r="E26" s="45">
        <v>944.89</v>
      </c>
      <c r="F26" s="495">
        <v>1143.3900000000001</v>
      </c>
      <c r="G26" s="498"/>
      <c r="L26" s="472"/>
      <c r="M26" s="508" t="s">
        <v>50</v>
      </c>
      <c r="N26" s="504"/>
      <c r="O26" s="396"/>
      <c r="P26" s="399">
        <f>B16</f>
        <v>0</v>
      </c>
      <c r="Q26" s="399">
        <f>C16</f>
        <v>0.63</v>
      </c>
      <c r="R26" s="399">
        <f>D16</f>
        <v>0</v>
      </c>
      <c r="S26" s="399">
        <f>E16</f>
        <v>0</v>
      </c>
      <c r="T26" s="399">
        <f>F16</f>
        <v>0</v>
      </c>
      <c r="X26" s="502" t="s">
        <v>51</v>
      </c>
      <c r="Y26" s="503"/>
      <c r="Z26" s="504"/>
      <c r="AA26" s="399">
        <f>B21</f>
        <v>171.24</v>
      </c>
      <c r="AB26" s="399">
        <f>C21</f>
        <v>139.85</v>
      </c>
      <c r="AC26" s="399">
        <f>D21</f>
        <v>131.76</v>
      </c>
      <c r="AD26" s="399">
        <f>E21</f>
        <v>187.69</v>
      </c>
      <c r="AE26" s="399">
        <f>F21</f>
        <v>186.86</v>
      </c>
    </row>
    <row r="27" spans="1:40" ht="16.7" thickTop="1" thickBot="1">
      <c r="A27" s="32" t="s">
        <v>18</v>
      </c>
      <c r="B27" s="45">
        <v>154.08000000000001</v>
      </c>
      <c r="C27" s="45">
        <v>215.21</v>
      </c>
      <c r="D27" s="45">
        <v>244.81</v>
      </c>
      <c r="E27" s="45">
        <v>306.67</v>
      </c>
      <c r="F27" s="495">
        <v>356.54</v>
      </c>
      <c r="G27" s="498"/>
      <c r="L27" s="472"/>
      <c r="M27" s="482" t="s">
        <v>52</v>
      </c>
      <c r="N27" s="396"/>
      <c r="O27" s="396"/>
      <c r="P27" s="399">
        <f>B13</f>
        <v>155.97999999999999</v>
      </c>
      <c r="Q27" s="399">
        <f>C13</f>
        <v>236.34</v>
      </c>
      <c r="R27" s="399">
        <f>D13</f>
        <v>264.26</v>
      </c>
      <c r="S27" s="399">
        <f>E13</f>
        <v>363.91</v>
      </c>
      <c r="T27" s="399">
        <f>F13</f>
        <v>433.4</v>
      </c>
      <c r="X27" s="458" t="s">
        <v>53</v>
      </c>
      <c r="Y27" s="396"/>
      <c r="Z27" s="396"/>
      <c r="AA27" s="400">
        <f>P15/AA26</f>
        <v>3.9049871525344542</v>
      </c>
      <c r="AB27" s="400">
        <f>Q15/AB26</f>
        <v>5.8321773328566335</v>
      </c>
      <c r="AC27" s="400">
        <f>R15/AC26</f>
        <v>7.1807073466909532</v>
      </c>
      <c r="AD27" s="400">
        <f>S15/AD26</f>
        <v>5.3121636741435347</v>
      </c>
      <c r="AE27" s="400">
        <f>T15/AE26</f>
        <v>6.0924221342181308</v>
      </c>
      <c r="AN27" s="35">
        <f>V23</f>
        <v>0</v>
      </c>
    </row>
    <row r="28" spans="1:40" ht="17.3" thickTop="1" thickBot="1">
      <c r="A28" s="32" t="s">
        <v>19</v>
      </c>
      <c r="B28" s="45">
        <v>66.11</v>
      </c>
      <c r="C28" s="45">
        <v>83.49</v>
      </c>
      <c r="D28" s="45">
        <v>83.29</v>
      </c>
      <c r="E28" s="45">
        <v>44.99</v>
      </c>
      <c r="F28" s="495">
        <v>55.5</v>
      </c>
      <c r="G28" s="498"/>
      <c r="L28" s="472"/>
      <c r="M28" s="396"/>
      <c r="N28" s="506" t="s">
        <v>54</v>
      </c>
      <c r="O28" s="504"/>
      <c r="P28" s="400">
        <f>P27/P12</f>
        <v>0.18274480399278301</v>
      </c>
      <c r="Q28" s="400">
        <f>Q27/Q12</f>
        <v>0.217410102385311</v>
      </c>
      <c r="R28" s="400">
        <f>R27/R12</f>
        <v>0.21451416511080443</v>
      </c>
      <c r="S28" s="400">
        <f>S27/S12</f>
        <v>0.25456440533318414</v>
      </c>
      <c r="T28" s="400">
        <f>T27/T12</f>
        <v>0.26420546333493861</v>
      </c>
      <c r="X28" s="502" t="s">
        <v>19</v>
      </c>
      <c r="Y28" s="504"/>
      <c r="Z28" s="396"/>
      <c r="AA28" s="399">
        <f>B28</f>
        <v>66.11</v>
      </c>
      <c r="AB28" s="399">
        <f>C28</f>
        <v>83.49</v>
      </c>
      <c r="AC28" s="399">
        <f>D28</f>
        <v>83.29</v>
      </c>
      <c r="AD28" s="399">
        <f>E28</f>
        <v>44.99</v>
      </c>
      <c r="AE28" s="399">
        <f>F28</f>
        <v>55.5</v>
      </c>
    </row>
    <row r="29" spans="1:40" ht="17.3" thickTop="1" thickBot="1">
      <c r="A29" s="407" t="s">
        <v>20</v>
      </c>
      <c r="B29" s="408">
        <v>465.36</v>
      </c>
      <c r="C29" s="408">
        <v>600.16999999999996</v>
      </c>
      <c r="D29" s="408">
        <v>715.4</v>
      </c>
      <c r="E29" s="408">
        <v>944.89</v>
      </c>
      <c r="F29" s="497">
        <v>1143.3900000000001</v>
      </c>
      <c r="G29" s="498"/>
      <c r="L29" s="472"/>
      <c r="M29" s="396"/>
      <c r="N29" s="483" t="s">
        <v>55</v>
      </c>
      <c r="O29" s="396"/>
      <c r="P29" s="399">
        <f>P27-P31</f>
        <v>53.079999999999984</v>
      </c>
      <c r="Q29" s="399">
        <f>Q27-Q31</f>
        <v>81.53</v>
      </c>
      <c r="R29" s="399">
        <f>R27-R31</f>
        <v>89.47999999999999</v>
      </c>
      <c r="S29" s="399">
        <f>S27-S31</f>
        <v>123.87000000000003</v>
      </c>
      <c r="T29" s="399">
        <f>T27-T31</f>
        <v>143.42999999999995</v>
      </c>
      <c r="X29" s="502" t="s">
        <v>56</v>
      </c>
      <c r="Y29" s="503"/>
      <c r="Z29" s="504"/>
      <c r="AA29" s="399">
        <f>B19</f>
        <v>0</v>
      </c>
      <c r="AB29" s="399">
        <f>C19</f>
        <v>0</v>
      </c>
      <c r="AC29" s="399">
        <f>D19</f>
        <v>0</v>
      </c>
      <c r="AD29" s="399">
        <f>E19</f>
        <v>0</v>
      </c>
      <c r="AE29" s="399">
        <f>F19</f>
        <v>0</v>
      </c>
    </row>
    <row r="30" spans="1:40" ht="16.7" thickTop="1" thickBot="1">
      <c r="A30" s="93" t="s">
        <v>45</v>
      </c>
      <c r="B30" s="86">
        <v>24.730000000000018</v>
      </c>
      <c r="C30" s="86">
        <v>22.609999999999985</v>
      </c>
      <c r="D30" s="86">
        <v>26.920000000000016</v>
      </c>
      <c r="E30" s="86">
        <v>25.349999999999966</v>
      </c>
      <c r="F30" s="86">
        <v>25.100000000000023</v>
      </c>
      <c r="G30" s="422"/>
      <c r="H30" s="86"/>
      <c r="I30" s="86"/>
      <c r="J30" s="86"/>
      <c r="L30" s="472"/>
      <c r="M30" s="396"/>
      <c r="N30" s="506" t="s">
        <v>57</v>
      </c>
      <c r="O30" s="504"/>
      <c r="P30" s="400">
        <f>P29/P27</f>
        <v>0.34030003846647</v>
      </c>
      <c r="Q30" s="400">
        <f>Q29/Q27</f>
        <v>0.34496911229584498</v>
      </c>
      <c r="R30" s="400">
        <f>R29/R27</f>
        <v>0.33860591841368348</v>
      </c>
      <c r="S30" s="400">
        <f>S29/S27</f>
        <v>0.34038635926465344</v>
      </c>
      <c r="T30" s="400">
        <f>T29/T27</f>
        <v>0.33094139363174885</v>
      </c>
      <c r="X30" s="458" t="s">
        <v>58</v>
      </c>
      <c r="Y30" s="396"/>
      <c r="Z30" s="396"/>
      <c r="AA30" s="400">
        <f t="shared" ref="AA30:AE30" si="1">AA29/AA36</f>
        <v>0</v>
      </c>
      <c r="AB30" s="400">
        <f t="shared" si="1"/>
        <v>0</v>
      </c>
      <c r="AC30" s="400">
        <f t="shared" si="1"/>
        <v>0</v>
      </c>
      <c r="AD30" s="400">
        <f t="shared" si="1"/>
        <v>0</v>
      </c>
      <c r="AE30" s="400">
        <f t="shared" si="1"/>
        <v>0</v>
      </c>
    </row>
    <row r="31" spans="1:40" ht="17.3" thickTop="1" thickBot="1">
      <c r="A31" s="86"/>
      <c r="B31" s="86"/>
      <c r="C31" s="86"/>
      <c r="D31" s="86"/>
      <c r="E31" s="86"/>
      <c r="F31" s="86"/>
      <c r="G31" s="86"/>
      <c r="H31" s="86"/>
      <c r="I31" s="86"/>
      <c r="J31" s="86"/>
      <c r="L31" s="472"/>
      <c r="M31" s="482" t="s">
        <v>59</v>
      </c>
      <c r="N31" s="396"/>
      <c r="O31" s="396"/>
      <c r="P31" s="399">
        <f>B14</f>
        <v>102.9</v>
      </c>
      <c r="Q31" s="399">
        <f>C14</f>
        <v>154.81</v>
      </c>
      <c r="R31" s="399">
        <f>D14</f>
        <v>174.78</v>
      </c>
      <c r="S31" s="399">
        <f>E14</f>
        <v>240.04</v>
      </c>
      <c r="T31" s="399">
        <f>F14</f>
        <v>289.97000000000003</v>
      </c>
      <c r="X31" s="502" t="s">
        <v>60</v>
      </c>
      <c r="Y31" s="503"/>
      <c r="Z31" s="504"/>
      <c r="AA31" s="399">
        <f>B20</f>
        <v>0</v>
      </c>
      <c r="AB31" s="399">
        <f>C20</f>
        <v>0</v>
      </c>
      <c r="AC31" s="399">
        <f>D20</f>
        <v>0</v>
      </c>
      <c r="AD31" s="399">
        <f>E20</f>
        <v>0</v>
      </c>
      <c r="AE31" s="399">
        <f>F20</f>
        <v>0</v>
      </c>
    </row>
    <row r="32" spans="1:40" ht="17.3" thickTop="1" thickBot="1">
      <c r="A32" s="409" t="s">
        <v>88</v>
      </c>
      <c r="B32" s="86"/>
      <c r="C32" s="410">
        <f>(C10-B10)/B10</f>
        <v>0.2736017058368676</v>
      </c>
      <c r="D32" s="410">
        <f>(D10-C10)/C10</f>
        <v>0.13322969082027852</v>
      </c>
      <c r="E32" s="410">
        <f>(E10-D10)/D10</f>
        <v>0.16043510025164368</v>
      </c>
      <c r="F32" s="410">
        <f>(F10-E10)/E10</f>
        <v>0.14749499839109095</v>
      </c>
      <c r="G32" s="86"/>
      <c r="H32" s="93" t="s">
        <v>89</v>
      </c>
      <c r="I32" s="86"/>
      <c r="J32" s="395">
        <f>AVERAGE(C32:F32)</f>
        <v>0.17869037382497019</v>
      </c>
      <c r="L32" s="472"/>
      <c r="M32" s="396"/>
      <c r="N32" s="506" t="s">
        <v>61</v>
      </c>
      <c r="O32" s="504"/>
      <c r="P32" s="400">
        <f>P31/P12</f>
        <v>0.12055674016449143</v>
      </c>
      <c r="Q32" s="400">
        <f>Q31/Q12</f>
        <v>0.14241033236130149</v>
      </c>
      <c r="R32" s="400">
        <f>R31/R12</f>
        <v>0.14187839922071596</v>
      </c>
      <c r="S32" s="400">
        <f>S31/S12</f>
        <v>0.16791415420345007</v>
      </c>
      <c r="T32" s="400">
        <f>T31/T12</f>
        <v>0.1767689390937521</v>
      </c>
      <c r="X32" s="502" t="s">
        <v>62</v>
      </c>
      <c r="Y32" s="503"/>
      <c r="Z32" s="504"/>
      <c r="AA32" s="399">
        <f>B18</f>
        <v>252.21</v>
      </c>
      <c r="AB32" s="399">
        <f>C18</f>
        <v>406.61</v>
      </c>
      <c r="AC32" s="399">
        <f>D18</f>
        <v>526.53</v>
      </c>
      <c r="AD32" s="399">
        <f>E18</f>
        <v>676.07</v>
      </c>
      <c r="AE32" s="399">
        <f>F18</f>
        <v>880.48</v>
      </c>
    </row>
    <row r="33" spans="1:31" ht="16.7" thickTop="1" thickBot="1">
      <c r="A33" s="409" t="s">
        <v>90</v>
      </c>
      <c r="B33" s="410">
        <f>B11/B10</f>
        <v>0.21171825573493921</v>
      </c>
      <c r="C33" s="410">
        <f t="shared" ref="C33:E33" si="2">C11/C10</f>
        <v>0.23878867046280369</v>
      </c>
      <c r="D33" s="410">
        <f t="shared" si="2"/>
        <v>0.23636658819709391</v>
      </c>
      <c r="E33" s="410">
        <f t="shared" si="2"/>
        <v>0.27229738237474993</v>
      </c>
      <c r="F33" s="410">
        <f>F11/F10</f>
        <v>0.279506702674364</v>
      </c>
      <c r="G33" s="86"/>
      <c r="H33" s="411" t="s">
        <v>90</v>
      </c>
      <c r="I33" s="411"/>
      <c r="J33" s="412">
        <f>AVERAGE(B33:F33)</f>
        <v>0.24773551988879014</v>
      </c>
      <c r="L33" s="472"/>
      <c r="M33" s="472"/>
      <c r="N33" s="472"/>
      <c r="O33" s="472"/>
      <c r="P33" s="472"/>
      <c r="Q33" s="472"/>
      <c r="R33" s="472"/>
      <c r="S33" s="472"/>
      <c r="T33" s="472"/>
      <c r="X33" s="458" t="s">
        <v>63</v>
      </c>
      <c r="Y33" s="396"/>
      <c r="Z33" s="396"/>
      <c r="AA33" s="400">
        <f t="shared" ref="AA33:AE33" si="3">AA32/AA36</f>
        <v>0.5419675090252708</v>
      </c>
      <c r="AB33" s="400">
        <f t="shared" si="3"/>
        <v>0.67749137744305787</v>
      </c>
      <c r="AC33" s="400">
        <f t="shared" si="3"/>
        <v>0.73599384959463232</v>
      </c>
      <c r="AD33" s="400">
        <f t="shared" si="3"/>
        <v>0.71550127528072061</v>
      </c>
      <c r="AE33" s="400">
        <f t="shared" si="3"/>
        <v>0.7700609590778299</v>
      </c>
    </row>
    <row r="34" spans="1:31" ht="17.3" thickTop="1" thickBot="1">
      <c r="A34" s="409" t="s">
        <v>91</v>
      </c>
      <c r="B34" s="86"/>
      <c r="C34" s="410">
        <f>C30/C22</f>
        <v>0.20773612642410863</v>
      </c>
      <c r="D34" s="410">
        <f>D30/D22</f>
        <v>0.24733553840499831</v>
      </c>
      <c r="E34" s="410">
        <f>E30/E22</f>
        <v>0.26296680497925273</v>
      </c>
      <c r="F34" s="410">
        <f>F30/F22</f>
        <v>0.24697431860671085</v>
      </c>
      <c r="G34" s="86"/>
      <c r="H34" s="409" t="s">
        <v>91</v>
      </c>
      <c r="I34" s="411"/>
      <c r="J34" s="412">
        <f>AVERAGE(C34:F34)</f>
        <v>0.24125319710376764</v>
      </c>
      <c r="L34" s="472"/>
      <c r="M34" s="472"/>
      <c r="N34" s="472"/>
      <c r="O34" s="472"/>
      <c r="P34" s="472"/>
      <c r="Q34" s="472"/>
      <c r="R34" s="472"/>
      <c r="S34" s="472"/>
      <c r="T34" s="472"/>
      <c r="X34" s="502" t="s">
        <v>8</v>
      </c>
      <c r="Y34" s="504"/>
      <c r="Z34" s="396"/>
      <c r="AA34" s="399">
        <f>B17</f>
        <v>31.14</v>
      </c>
      <c r="AB34" s="399">
        <f>C17</f>
        <v>31.14</v>
      </c>
      <c r="AC34" s="399">
        <f>D17</f>
        <v>31.14</v>
      </c>
      <c r="AD34" s="399">
        <f>E17</f>
        <v>62.28</v>
      </c>
      <c r="AE34" s="399">
        <f>F17</f>
        <v>62.28</v>
      </c>
    </row>
    <row r="35" spans="1:31" ht="16.7" thickTop="1" thickBot="1">
      <c r="A35" s="409" t="s">
        <v>93</v>
      </c>
      <c r="B35" s="86"/>
      <c r="C35" s="86">
        <f>C22-B22+C30</f>
        <v>30.379999999999995</v>
      </c>
      <c r="D35" s="86">
        <f>D22-C22+D30</f>
        <v>26.920000000000016</v>
      </c>
      <c r="E35" s="86">
        <f>E22-D22+E30</f>
        <v>12.909999999999968</v>
      </c>
      <c r="F35" s="86">
        <f>F22-E22+F30</f>
        <v>30.330000000000013</v>
      </c>
      <c r="G35" s="86"/>
      <c r="H35" s="411"/>
      <c r="I35" s="411"/>
      <c r="J35" s="411"/>
      <c r="X35" s="458" t="s">
        <v>64</v>
      </c>
      <c r="Y35" s="396"/>
      <c r="Z35" s="396"/>
      <c r="AA35" s="400">
        <f t="shared" ref="AA35:AE35" si="4">AA34/AA36</f>
        <v>6.6915936049510058E-2</v>
      </c>
      <c r="AB35" s="400">
        <f t="shared" si="4"/>
        <v>5.1885299165236522E-2</v>
      </c>
      <c r="AC35" s="400">
        <f t="shared" si="4"/>
        <v>4.3528096169974842E-2</v>
      </c>
      <c r="AD35" s="400">
        <f t="shared" si="4"/>
        <v>6.5912434251606006E-2</v>
      </c>
      <c r="AE35" s="400">
        <f t="shared" si="4"/>
        <v>5.4469603547346049E-2</v>
      </c>
    </row>
    <row r="36" spans="1:31" ht="17.3" thickTop="1" thickBot="1">
      <c r="A36" s="409" t="s">
        <v>92</v>
      </c>
      <c r="B36" s="86"/>
      <c r="C36" s="410">
        <f>C35/C10</f>
        <v>2.7946682366360949E-2</v>
      </c>
      <c r="D36" s="410">
        <f t="shared" ref="D36:F36" si="5">D35/D10</f>
        <v>2.1852423086289482E-2</v>
      </c>
      <c r="E36" s="410">
        <f t="shared" si="5"/>
        <v>9.0308770653496715E-3</v>
      </c>
      <c r="F36" s="410">
        <f t="shared" si="5"/>
        <v>1.8489505544413226E-2</v>
      </c>
      <c r="G36" s="86"/>
      <c r="H36" s="409" t="s">
        <v>92</v>
      </c>
      <c r="I36" s="411"/>
      <c r="J36" s="412">
        <f>AVERAGE(C36:F36)</f>
        <v>1.9329872015603329E-2</v>
      </c>
      <c r="X36" s="502" t="s">
        <v>65</v>
      </c>
      <c r="Y36" s="503"/>
      <c r="Z36" s="504"/>
      <c r="AA36" s="399">
        <f>B29</f>
        <v>465.36</v>
      </c>
      <c r="AB36" s="399">
        <f>C29</f>
        <v>600.16999999999996</v>
      </c>
      <c r="AC36" s="399">
        <f>D29</f>
        <v>715.4</v>
      </c>
      <c r="AD36" s="399">
        <f>E29</f>
        <v>944.89</v>
      </c>
      <c r="AE36" s="399">
        <f>F29</f>
        <v>1143.3900000000001</v>
      </c>
    </row>
    <row r="37" spans="1:31" ht="13.25" thickTop="1">
      <c r="A37" s="409" t="s">
        <v>94</v>
      </c>
      <c r="B37" s="86">
        <v>156.56</v>
      </c>
      <c r="C37" s="86">
        <v>314.75</v>
      </c>
      <c r="D37" s="86">
        <v>434.76</v>
      </c>
      <c r="E37" s="86">
        <v>617.38000000000011</v>
      </c>
      <c r="F37" s="86">
        <v>821.15</v>
      </c>
      <c r="G37" s="86"/>
      <c r="H37" s="411"/>
      <c r="I37" s="411"/>
      <c r="J37" s="411"/>
      <c r="X37" s="459"/>
      <c r="Y37" s="459"/>
      <c r="Z37" s="459"/>
      <c r="AA37" s="459"/>
      <c r="AB37" s="459"/>
      <c r="AC37" s="459"/>
      <c r="AD37" s="459"/>
      <c r="AE37" s="459"/>
    </row>
    <row r="38" spans="1:31" ht="12.7">
      <c r="A38" s="409" t="s">
        <v>95</v>
      </c>
      <c r="B38" s="410">
        <f>B37/B10</f>
        <v>0.18342432692082386</v>
      </c>
      <c r="C38" s="410">
        <f t="shared" ref="C38:F38" si="6">C37/C10</f>
        <v>0.28953977204779824</v>
      </c>
      <c r="D38" s="410">
        <f t="shared" si="6"/>
        <v>0.3529182563519766</v>
      </c>
      <c r="E38" s="410">
        <f t="shared" si="6"/>
        <v>0.43187318997719554</v>
      </c>
      <c r="F38" s="410">
        <f t="shared" si="6"/>
        <v>0.50058217862825294</v>
      </c>
      <c r="G38" s="86"/>
      <c r="H38" s="409" t="s">
        <v>95</v>
      </c>
      <c r="I38" s="411"/>
      <c r="J38" s="412">
        <f>AVERAGE(B38:F38)</f>
        <v>0.35166754478520945</v>
      </c>
      <c r="X38" s="459"/>
      <c r="Y38" s="459"/>
      <c r="Z38" s="459"/>
      <c r="AA38" s="459"/>
      <c r="AB38" s="459"/>
      <c r="AC38" s="459"/>
      <c r="AD38" s="459"/>
      <c r="AE38" s="459"/>
    </row>
    <row r="39" spans="1:31" ht="14.4">
      <c r="A39" s="409" t="s">
        <v>77</v>
      </c>
      <c r="B39" s="410">
        <v>0.34030003846647</v>
      </c>
      <c r="C39" s="410">
        <v>0.34496911229584498</v>
      </c>
      <c r="D39" s="410">
        <v>0.33860591841368348</v>
      </c>
      <c r="E39" s="410">
        <v>0.34038635926465344</v>
      </c>
      <c r="F39" s="410">
        <v>0.33094139363174885</v>
      </c>
      <c r="G39" s="86"/>
      <c r="H39" s="409" t="s">
        <v>77</v>
      </c>
      <c r="I39" s="411"/>
      <c r="J39" s="412">
        <f>AVERAGE(B39:F39)</f>
        <v>0.33904056441448016</v>
      </c>
      <c r="X39" s="460" t="s">
        <v>66</v>
      </c>
      <c r="Y39" s="461"/>
      <c r="Z39" s="461"/>
      <c r="AA39" s="462">
        <f t="shared" ref="AA39:AE39" si="7">AA15-AA26</f>
        <v>156.56</v>
      </c>
      <c r="AB39" s="462">
        <f t="shared" si="7"/>
        <v>314.75</v>
      </c>
      <c r="AC39" s="462">
        <f t="shared" si="7"/>
        <v>434.76</v>
      </c>
      <c r="AD39" s="462">
        <f t="shared" si="7"/>
        <v>617.38000000000011</v>
      </c>
      <c r="AE39" s="462">
        <f t="shared" si="7"/>
        <v>821.15</v>
      </c>
    </row>
    <row r="40" spans="1:31" ht="12.7">
      <c r="A40" s="86"/>
      <c r="B40" s="86"/>
      <c r="C40" s="86"/>
      <c r="D40" s="86"/>
      <c r="E40" s="86"/>
      <c r="F40" s="86"/>
      <c r="G40" s="86"/>
      <c r="H40" s="411"/>
      <c r="I40" s="411"/>
      <c r="J40" s="411"/>
      <c r="X40" s="461"/>
      <c r="Y40" s="461"/>
      <c r="Z40" s="461"/>
      <c r="AA40" s="461"/>
      <c r="AB40" s="462">
        <f t="shared" ref="AB40:AE40" si="8">AB39-AA39</f>
        <v>158.19</v>
      </c>
      <c r="AC40" s="462">
        <f t="shared" si="8"/>
        <v>120.00999999999999</v>
      </c>
      <c r="AD40" s="462">
        <f t="shared" si="8"/>
        <v>182.62000000000012</v>
      </c>
      <c r="AE40" s="462">
        <f t="shared" si="8"/>
        <v>203.76999999999987</v>
      </c>
    </row>
    <row r="41" spans="1:31" ht="14.4">
      <c r="A41" s="86"/>
      <c r="B41" s="86"/>
      <c r="C41" s="86"/>
      <c r="D41" s="86"/>
      <c r="E41" s="86"/>
      <c r="F41" s="86"/>
      <c r="G41" s="86"/>
      <c r="H41" s="411"/>
      <c r="I41" s="411"/>
      <c r="J41" s="411"/>
      <c r="X41" s="460" t="s">
        <v>67</v>
      </c>
      <c r="Y41" s="461"/>
      <c r="Z41" s="461"/>
      <c r="AA41" s="461"/>
      <c r="AB41" s="462">
        <f t="shared" ref="AB41:AE41" si="9">AB13-AA13</f>
        <v>7.7700000000000102</v>
      </c>
      <c r="AC41" s="462">
        <f t="shared" si="9"/>
        <v>0</v>
      </c>
      <c r="AD41" s="462">
        <f t="shared" si="9"/>
        <v>-12.439999999999998</v>
      </c>
      <c r="AE41" s="462">
        <f t="shared" si="9"/>
        <v>5.2299999999999898</v>
      </c>
    </row>
    <row r="42" spans="1:31" ht="15.7" customHeight="1">
      <c r="A42" s="409" t="s">
        <v>96</v>
      </c>
      <c r="B42" s="395">
        <v>0.22109999999999999</v>
      </c>
      <c r="C42" s="395">
        <v>0.2581</v>
      </c>
      <c r="D42" s="413">
        <v>0.24429999999999999</v>
      </c>
      <c r="E42" s="395">
        <v>0.253</v>
      </c>
      <c r="F42" s="395">
        <v>0.25359999999999999</v>
      </c>
      <c r="G42" s="86"/>
      <c r="H42" s="93" t="s">
        <v>96</v>
      </c>
      <c r="I42" s="86"/>
      <c r="J42" s="395">
        <f>AVERAGE(B42:F42)</f>
        <v>0.24601999999999999</v>
      </c>
      <c r="X42" s="472"/>
      <c r="Y42" s="472"/>
      <c r="Z42" s="472"/>
      <c r="AA42" s="472"/>
      <c r="AB42" s="472"/>
      <c r="AC42" s="472"/>
      <c r="AD42" s="472"/>
      <c r="AE42" s="472"/>
    </row>
    <row r="43" spans="1:31" ht="15.7" customHeight="1">
      <c r="A43" s="409" t="s">
        <v>97</v>
      </c>
      <c r="B43" s="395">
        <v>0.66720000000000002</v>
      </c>
      <c r="C43" s="395">
        <v>0.71850000000000003</v>
      </c>
      <c r="D43" s="395">
        <v>0.69989999999999997</v>
      </c>
      <c r="E43" s="414">
        <v>0.75019999999999998</v>
      </c>
      <c r="F43" s="395">
        <v>0.71519999999999995</v>
      </c>
      <c r="G43" s="86"/>
      <c r="H43" s="411" t="s">
        <v>97</v>
      </c>
      <c r="I43" s="86"/>
      <c r="J43" s="395">
        <f>AVERAGE(B43:F43)</f>
        <v>0.71019999999999994</v>
      </c>
    </row>
    <row r="47" spans="1:31" ht="12.7"/>
    <row r="48" spans="1:31" ht="12.7"/>
    <row r="49" ht="12.7"/>
    <row r="50" ht="12.7"/>
    <row r="51" ht="12.7"/>
    <row r="52" ht="12.7"/>
    <row r="53" ht="12.7"/>
    <row r="54" ht="12.7"/>
    <row r="55" ht="12.7"/>
    <row r="56" ht="12.7"/>
    <row r="57" ht="12.7"/>
    <row r="58" ht="12.7"/>
    <row r="59" ht="12.7"/>
    <row r="60" ht="12.7"/>
    <row r="61" ht="12.7"/>
    <row r="62" ht="12.7"/>
    <row r="63" ht="12.7"/>
    <row r="64" ht="12.7"/>
    <row r="67" spans="1:7" ht="15.7" customHeight="1">
      <c r="A67" s="472"/>
      <c r="B67" s="472"/>
      <c r="C67" s="472"/>
      <c r="D67" s="472"/>
      <c r="E67" s="472"/>
      <c r="F67" s="472"/>
      <c r="G67" s="472"/>
    </row>
    <row r="136" spans="1:15" ht="15.7" customHeight="1" thickBot="1">
      <c r="A136" s="472"/>
      <c r="B136" s="472"/>
      <c r="C136" s="472"/>
      <c r="D136" s="472"/>
      <c r="E136" s="472"/>
      <c r="F136" s="472"/>
      <c r="G136" s="472"/>
    </row>
    <row r="137" spans="1:15" ht="15.7" customHeight="1" thickTop="1" thickBot="1">
      <c r="A137" s="396"/>
      <c r="B137" s="397">
        <v>15</v>
      </c>
      <c r="C137" s="397">
        <v>16</v>
      </c>
      <c r="D137" s="397">
        <v>17</v>
      </c>
      <c r="E137" s="397">
        <v>18</v>
      </c>
      <c r="F137" s="397">
        <v>19</v>
      </c>
      <c r="G137" s="472"/>
    </row>
    <row r="138" spans="1:15" ht="15.7" customHeight="1" thickTop="1" thickBot="1">
      <c r="A138" s="396"/>
      <c r="B138" s="507" t="s">
        <v>68</v>
      </c>
      <c r="C138" s="503"/>
      <c r="D138" s="503"/>
      <c r="E138" s="503"/>
      <c r="F138" s="504"/>
      <c r="G138" s="472"/>
      <c r="J138" s="401"/>
      <c r="K138" s="402"/>
      <c r="L138" s="402"/>
      <c r="M138" s="402"/>
      <c r="N138" s="402"/>
      <c r="O138" s="402"/>
    </row>
    <row r="139" spans="1:15" ht="15.7" customHeight="1" thickTop="1" thickBot="1">
      <c r="A139" s="482" t="s">
        <v>70</v>
      </c>
      <c r="B139" s="399">
        <f>B10</f>
        <v>853.54</v>
      </c>
      <c r="C139" s="399">
        <f>C10</f>
        <v>1087.07</v>
      </c>
      <c r="D139" s="399">
        <f>D10</f>
        <v>1231.9000000000001</v>
      </c>
      <c r="E139" s="399">
        <f>E10</f>
        <v>1429.54</v>
      </c>
      <c r="F139" s="399">
        <f>F10</f>
        <v>1640.39</v>
      </c>
      <c r="G139" s="472"/>
      <c r="J139" s="401"/>
      <c r="K139" s="401"/>
      <c r="L139" s="406"/>
      <c r="M139" s="406"/>
      <c r="N139" s="406"/>
      <c r="O139" s="406"/>
    </row>
    <row r="140" spans="1:15" ht="15.7" customHeight="1" thickTop="1" thickBot="1">
      <c r="A140" s="483" t="s">
        <v>72</v>
      </c>
      <c r="B140" s="399">
        <f>P15</f>
        <v>668.68999999999994</v>
      </c>
      <c r="C140" s="399">
        <f>Q15</f>
        <v>815.63000000000011</v>
      </c>
      <c r="D140" s="399">
        <f>R15</f>
        <v>946.12999999999988</v>
      </c>
      <c r="E140" s="399">
        <f>S15</f>
        <v>997.04</v>
      </c>
      <c r="F140" s="399">
        <f>T15</f>
        <v>1138.43</v>
      </c>
      <c r="G140" s="472"/>
      <c r="J140" s="403"/>
      <c r="K140" s="401"/>
      <c r="L140" s="401"/>
      <c r="M140" s="401"/>
      <c r="N140" s="401"/>
      <c r="O140" s="401"/>
    </row>
    <row r="141" spans="1:15" ht="15.7" customHeight="1" thickTop="1" thickBot="1">
      <c r="A141" s="483" t="s">
        <v>74</v>
      </c>
      <c r="B141" s="399">
        <f>P13</f>
        <v>4.1399999999999864</v>
      </c>
      <c r="C141" s="399">
        <f>Q13</f>
        <v>11.8599999999999</v>
      </c>
      <c r="D141" s="399">
        <f>R13</f>
        <v>-5.4099999999998545</v>
      </c>
      <c r="E141" s="399">
        <f>S13</f>
        <v>43.240000000000009</v>
      </c>
      <c r="F141" s="399">
        <f>T13</f>
        <v>43.460000000000036</v>
      </c>
      <c r="G141" s="472"/>
      <c r="J141" s="403"/>
      <c r="K141" s="404"/>
      <c r="L141" s="404"/>
      <c r="M141" s="404"/>
      <c r="N141" s="404"/>
      <c r="O141" s="404"/>
    </row>
    <row r="142" spans="1:15" ht="15.7" customHeight="1" thickTop="1" thickBot="1">
      <c r="A142" s="483" t="s">
        <v>45</v>
      </c>
      <c r="B142" s="399">
        <f>P23</f>
        <v>24.730000000000018</v>
      </c>
      <c r="C142" s="399">
        <f>Q23</f>
        <v>22.609999999999985</v>
      </c>
      <c r="D142" s="399">
        <f>R23</f>
        <v>26.920000000000016</v>
      </c>
      <c r="E142" s="399">
        <f>S23</f>
        <v>25.349999999999966</v>
      </c>
      <c r="F142" s="399">
        <f>T23</f>
        <v>25.100000000000023</v>
      </c>
      <c r="G142" s="472"/>
      <c r="J142" s="403"/>
      <c r="K142" s="404"/>
      <c r="L142" s="404"/>
      <c r="M142" s="404"/>
      <c r="N142" s="404"/>
      <c r="O142" s="404"/>
    </row>
    <row r="143" spans="1:15" ht="15.7" customHeight="1" thickTop="1" thickBot="1">
      <c r="A143" s="396"/>
      <c r="B143" s="396"/>
      <c r="C143" s="396"/>
      <c r="D143" s="396"/>
      <c r="E143" s="396"/>
      <c r="F143" s="396"/>
      <c r="G143" s="472"/>
      <c r="J143" s="403"/>
      <c r="K143" s="404"/>
      <c r="L143" s="404"/>
      <c r="M143" s="404"/>
      <c r="N143" s="404"/>
      <c r="O143" s="404"/>
    </row>
    <row r="144" spans="1:15" ht="15.7" customHeight="1" thickTop="1" thickBot="1">
      <c r="A144" s="483" t="s">
        <v>47</v>
      </c>
      <c r="B144" s="399">
        <f>P24</f>
        <v>155.97999999999999</v>
      </c>
      <c r="C144" s="399">
        <f>Q24</f>
        <v>236.97</v>
      </c>
      <c r="D144" s="399">
        <f>R24</f>
        <v>264.26</v>
      </c>
      <c r="E144" s="399">
        <f>S24</f>
        <v>363.91</v>
      </c>
      <c r="F144" s="399">
        <f>T24</f>
        <v>433.4</v>
      </c>
      <c r="G144" s="472"/>
      <c r="J144" s="403"/>
      <c r="K144" s="404"/>
      <c r="L144" s="404"/>
      <c r="M144" s="404"/>
      <c r="N144" s="404"/>
      <c r="O144" s="404"/>
    </row>
    <row r="145" spans="1:15" ht="15.7" customHeight="1" thickTop="1" thickBot="1">
      <c r="A145" s="483" t="s">
        <v>77</v>
      </c>
      <c r="B145" s="400">
        <f>P30</f>
        <v>0.34030003846647</v>
      </c>
      <c r="C145" s="400">
        <f>Q30</f>
        <v>0.34496911229584498</v>
      </c>
      <c r="D145" s="400">
        <f>R30</f>
        <v>0.33860591841368348</v>
      </c>
      <c r="E145" s="400">
        <f>S30</f>
        <v>0.34038635926465344</v>
      </c>
      <c r="F145" s="400">
        <f>T30</f>
        <v>0.33094139363174885</v>
      </c>
      <c r="G145" s="472"/>
      <c r="J145" s="403"/>
      <c r="K145" s="404"/>
      <c r="L145" s="404"/>
      <c r="M145" s="404"/>
      <c r="N145" s="404"/>
      <c r="O145" s="404"/>
    </row>
    <row r="146" spans="1:15" ht="15.7" customHeight="1" thickTop="1" thickBot="1">
      <c r="A146" s="483" t="s">
        <v>78</v>
      </c>
      <c r="B146" s="491">
        <f t="shared" ref="B146:F146" si="10">B144*(1-B145)</f>
        <v>102.89999999999999</v>
      </c>
      <c r="C146" s="491">
        <f t="shared" si="10"/>
        <v>155.22266945925364</v>
      </c>
      <c r="D146" s="491">
        <f t="shared" si="10"/>
        <v>174.78</v>
      </c>
      <c r="E146" s="491">
        <f t="shared" si="10"/>
        <v>240.04</v>
      </c>
      <c r="F146" s="491">
        <f t="shared" si="10"/>
        <v>289.97000000000003</v>
      </c>
      <c r="G146" s="472"/>
      <c r="J146" s="401"/>
      <c r="K146" s="401"/>
      <c r="L146" s="401"/>
      <c r="M146" s="401"/>
      <c r="N146" s="401"/>
      <c r="O146" s="401"/>
    </row>
    <row r="147" spans="1:15" ht="15.7" customHeight="1" thickTop="1" thickBot="1">
      <c r="A147" s="483" t="s">
        <v>45</v>
      </c>
      <c r="B147" s="491">
        <f>P23</f>
        <v>24.730000000000018</v>
      </c>
      <c r="C147" s="491">
        <f>Q23</f>
        <v>22.609999999999985</v>
      </c>
      <c r="D147" s="491">
        <f>R23</f>
        <v>26.920000000000016</v>
      </c>
      <c r="E147" s="491">
        <f>S23</f>
        <v>25.349999999999966</v>
      </c>
      <c r="F147" s="491">
        <f>T23</f>
        <v>25.100000000000023</v>
      </c>
      <c r="G147" s="472"/>
      <c r="J147" s="401"/>
      <c r="K147" s="401"/>
      <c r="L147" s="401"/>
      <c r="M147" s="401"/>
      <c r="N147" s="401"/>
      <c r="O147" s="401"/>
    </row>
    <row r="148" spans="1:15" ht="15.7" customHeight="1" thickTop="1" thickBot="1">
      <c r="A148" s="483" t="s">
        <v>80</v>
      </c>
      <c r="B148" s="491">
        <f t="shared" ref="B148:F148" si="11">B146+B147</f>
        <v>127.63000000000001</v>
      </c>
      <c r="C148" s="491">
        <f t="shared" si="11"/>
        <v>177.83266945925362</v>
      </c>
      <c r="D148" s="491">
        <f t="shared" si="11"/>
        <v>201.70000000000002</v>
      </c>
      <c r="E148" s="491">
        <f t="shared" si="11"/>
        <v>265.39</v>
      </c>
      <c r="F148" s="491">
        <f t="shared" si="11"/>
        <v>315.07000000000005</v>
      </c>
      <c r="G148" s="472"/>
      <c r="J148" s="403"/>
      <c r="K148" s="405"/>
      <c r="L148" s="405"/>
      <c r="M148" s="405"/>
      <c r="N148" s="405"/>
      <c r="O148" s="405"/>
    </row>
    <row r="149" spans="1:15" ht="15.7" customHeight="1" thickTop="1" thickBot="1">
      <c r="A149" s="396"/>
      <c r="B149" s="396"/>
      <c r="C149" s="396"/>
      <c r="D149" s="396"/>
      <c r="E149" s="396"/>
      <c r="F149" s="396"/>
      <c r="G149" s="472"/>
      <c r="J149" s="403"/>
      <c r="K149" s="405"/>
      <c r="L149" s="405"/>
      <c r="M149" s="405"/>
      <c r="N149" s="405"/>
      <c r="O149" s="405"/>
    </row>
    <row r="150" spans="1:15" ht="15.7" customHeight="1" thickTop="1" thickBot="1">
      <c r="A150" s="396"/>
      <c r="B150" s="396"/>
      <c r="C150" s="396"/>
      <c r="D150" s="396"/>
      <c r="E150" s="396"/>
      <c r="F150" s="396"/>
      <c r="G150" s="472"/>
      <c r="J150" s="403"/>
      <c r="K150" s="405"/>
      <c r="L150" s="405"/>
      <c r="M150" s="405"/>
      <c r="N150" s="405"/>
      <c r="O150" s="405"/>
    </row>
    <row r="151" spans="1:15" ht="15.7" customHeight="1" thickTop="1" thickBot="1">
      <c r="A151" s="483" t="s">
        <v>84</v>
      </c>
      <c r="B151" s="396">
        <f t="shared" ref="B151:F152" si="12">AA40</f>
        <v>0</v>
      </c>
      <c r="C151" s="396">
        <f t="shared" si="12"/>
        <v>158.19</v>
      </c>
      <c r="D151" s="396">
        <f t="shared" si="12"/>
        <v>120.00999999999999</v>
      </c>
      <c r="E151" s="396">
        <f t="shared" si="12"/>
        <v>182.62000000000012</v>
      </c>
      <c r="F151" s="396">
        <f t="shared" si="12"/>
        <v>203.76999999999987</v>
      </c>
      <c r="G151" s="472"/>
      <c r="J151" s="403"/>
      <c r="K151" s="405"/>
      <c r="L151" s="405"/>
      <c r="M151" s="405"/>
      <c r="N151" s="405"/>
      <c r="O151" s="405"/>
    </row>
    <row r="152" spans="1:15" ht="15.7" customHeight="1" thickTop="1" thickBot="1">
      <c r="A152" s="483" t="s">
        <v>85</v>
      </c>
      <c r="B152" s="396">
        <f t="shared" si="12"/>
        <v>0</v>
      </c>
      <c r="C152" s="396">
        <f t="shared" si="12"/>
        <v>7.7700000000000102</v>
      </c>
      <c r="D152" s="396">
        <f t="shared" si="12"/>
        <v>0</v>
      </c>
      <c r="E152" s="396">
        <f t="shared" si="12"/>
        <v>-12.439999999999998</v>
      </c>
      <c r="F152" s="396">
        <f t="shared" si="12"/>
        <v>5.2299999999999898</v>
      </c>
      <c r="G152" s="472"/>
      <c r="J152" s="403"/>
      <c r="K152" s="405"/>
      <c r="L152" s="405"/>
      <c r="M152" s="405"/>
      <c r="N152" s="405"/>
      <c r="O152" s="405"/>
    </row>
    <row r="153" spans="1:15" ht="15.7" customHeight="1" thickTop="1" thickBot="1">
      <c r="A153" s="396"/>
      <c r="B153" s="396"/>
      <c r="C153" s="396"/>
      <c r="D153" s="396"/>
      <c r="E153" s="396"/>
      <c r="F153" s="396"/>
      <c r="G153" s="472"/>
    </row>
    <row r="154" spans="1:15" ht="15.7" customHeight="1" thickTop="1" thickBot="1">
      <c r="A154" s="492" t="s">
        <v>68</v>
      </c>
      <c r="B154" s="455"/>
      <c r="C154" s="493">
        <f t="shared" ref="C154:F154" si="13">C148-SUM(C151:C152)</f>
        <v>11.872669459253615</v>
      </c>
      <c r="D154" s="493">
        <f t="shared" si="13"/>
        <v>81.690000000000026</v>
      </c>
      <c r="E154" s="493">
        <f t="shared" si="13"/>
        <v>95.209999999999866</v>
      </c>
      <c r="F154" s="493">
        <f t="shared" si="13"/>
        <v>106.07000000000019</v>
      </c>
      <c r="G154" s="472"/>
    </row>
    <row r="155" spans="1:15" ht="15.7" customHeight="1" thickTop="1">
      <c r="A155" s="472"/>
      <c r="B155" s="472"/>
      <c r="C155" s="472"/>
      <c r="D155" s="472"/>
      <c r="E155" s="472"/>
      <c r="F155" s="472"/>
      <c r="G155" s="472"/>
    </row>
    <row r="156" spans="1:15" ht="15.7" customHeight="1">
      <c r="A156" s="472"/>
      <c r="B156" s="472"/>
      <c r="C156" s="472"/>
      <c r="D156" s="472"/>
      <c r="E156" s="472"/>
      <c r="F156" s="472"/>
      <c r="G156" s="472"/>
    </row>
  </sheetData>
  <mergeCells count="36">
    <mergeCell ref="M10:T10"/>
    <mergeCell ref="X10:AE10"/>
    <mergeCell ref="M11:O11"/>
    <mergeCell ref="M12:N12"/>
    <mergeCell ref="N13:O13"/>
    <mergeCell ref="M14:O14"/>
    <mergeCell ref="N15:O15"/>
    <mergeCell ref="N16:O16"/>
    <mergeCell ref="X16:Z16"/>
    <mergeCell ref="M17:O17"/>
    <mergeCell ref="N18:O18"/>
    <mergeCell ref="X18:Z18"/>
    <mergeCell ref="M19:N19"/>
    <mergeCell ref="X20:Y20"/>
    <mergeCell ref="N28:O28"/>
    <mergeCell ref="N30:O30"/>
    <mergeCell ref="N32:O32"/>
    <mergeCell ref="B138:F138"/>
    <mergeCell ref="N20:O20"/>
    <mergeCell ref="N21:O21"/>
    <mergeCell ref="M22:N22"/>
    <mergeCell ref="N23:O23"/>
    <mergeCell ref="M24:N24"/>
    <mergeCell ref="N25:O25"/>
    <mergeCell ref="M26:N26"/>
    <mergeCell ref="X31:Z31"/>
    <mergeCell ref="X32:Z32"/>
    <mergeCell ref="X34:Y34"/>
    <mergeCell ref="X36:Z36"/>
    <mergeCell ref="X13:Z13"/>
    <mergeCell ref="X15:Z15"/>
    <mergeCell ref="X23:Y23"/>
    <mergeCell ref="X25:Z25"/>
    <mergeCell ref="X26:Z26"/>
    <mergeCell ref="X28:Y28"/>
    <mergeCell ref="X29:Z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AB795-ED13-4D5A-9136-48ECB87879B8}">
  <dimension ref="A1:S98"/>
  <sheetViews>
    <sheetView topLeftCell="A58" zoomScale="70" zoomScaleNormal="70" workbookViewId="0">
      <selection activeCell="E97" sqref="E97"/>
    </sheetView>
  </sheetViews>
  <sheetFormatPr defaultRowHeight="12.7"/>
  <cols>
    <col min="1" max="1" width="20" customWidth="1"/>
    <col min="2" max="2" width="12.109375" customWidth="1"/>
    <col min="3" max="3" width="16" customWidth="1"/>
    <col min="4" max="4" width="17.33203125" customWidth="1"/>
    <col min="5" max="5" width="18.77734375" customWidth="1"/>
    <col min="6" max="6" width="12.109375" customWidth="1"/>
    <col min="9" max="9" width="30.44140625" customWidth="1"/>
    <col min="10" max="10" width="15.109375" customWidth="1"/>
    <col min="11" max="11" width="22.33203125" customWidth="1"/>
    <col min="12" max="12" width="13.6640625" customWidth="1"/>
  </cols>
  <sheetData>
    <row r="1" spans="1:7" ht="14.4" thickBot="1">
      <c r="A1" s="68" t="s">
        <v>98</v>
      </c>
      <c r="B1" s="64"/>
      <c r="C1" s="64"/>
      <c r="D1" s="64"/>
      <c r="E1" s="64"/>
      <c r="F1" s="64"/>
      <c r="G1" s="64"/>
    </row>
    <row r="2" spans="1:7" ht="15.55" thickTop="1" thickBot="1">
      <c r="A2" s="69" t="s">
        <v>99</v>
      </c>
      <c r="B2" s="41">
        <f>'TATA ELXSI LIMITED'!F10</f>
        <v>1640.39</v>
      </c>
      <c r="C2" s="64"/>
      <c r="D2" s="64" t="s">
        <v>96</v>
      </c>
      <c r="E2" s="64"/>
      <c r="F2" s="75">
        <f>'TATA ELXSI LIMITED'!J42</f>
        <v>0.24601999999999999</v>
      </c>
      <c r="G2" s="64"/>
    </row>
    <row r="3" spans="1:7" ht="13.25" thickTop="1">
      <c r="A3" s="69" t="s">
        <v>100</v>
      </c>
      <c r="B3" s="71">
        <f>'TATA ELXSI LIMITED'!J32</f>
        <v>0.17869037382497019</v>
      </c>
      <c r="C3" s="64"/>
      <c r="D3" s="64" t="s">
        <v>97</v>
      </c>
      <c r="E3" s="64"/>
      <c r="F3" s="75">
        <f>'TATA ELXSI LIMITED'!J43</f>
        <v>0.71019999999999994</v>
      </c>
      <c r="G3" s="64"/>
    </row>
    <row r="4" spans="1:7">
      <c r="A4" s="69" t="s">
        <v>101</v>
      </c>
      <c r="B4" s="71">
        <f>'TATA ELXSI LIMITED'!J33</f>
        <v>0.24773551988879014</v>
      </c>
      <c r="C4" s="64"/>
      <c r="D4" s="64"/>
      <c r="E4" s="64"/>
      <c r="F4" s="64"/>
      <c r="G4" s="64"/>
    </row>
    <row r="5" spans="1:7" ht="16.149999999999999">
      <c r="A5" s="69" t="s">
        <v>102</v>
      </c>
      <c r="B5" s="71">
        <f>'TATA ELXSI LIMITED'!J34</f>
        <v>0.24125319710376764</v>
      </c>
      <c r="C5" s="64"/>
      <c r="D5" s="64"/>
      <c r="E5" s="64"/>
      <c r="F5" s="64"/>
      <c r="G5" s="64"/>
    </row>
    <row r="6" spans="1:7">
      <c r="A6" s="69" t="s">
        <v>92</v>
      </c>
      <c r="B6" s="71">
        <f>'TATA ELXSI LIMITED'!J36</f>
        <v>1.9329872015603329E-2</v>
      </c>
      <c r="C6" s="64"/>
      <c r="D6" s="64"/>
      <c r="E6" s="64"/>
      <c r="F6" s="64"/>
      <c r="G6" s="64"/>
    </row>
    <row r="7" spans="1:7">
      <c r="A7" s="69" t="s">
        <v>103</v>
      </c>
      <c r="B7" s="71">
        <f>'TATA ELXSI LIMITED'!J38</f>
        <v>0.35166754478520945</v>
      </c>
      <c r="C7" s="64"/>
      <c r="D7" s="64"/>
      <c r="E7" s="64"/>
      <c r="F7" s="64"/>
      <c r="G7" s="64"/>
    </row>
    <row r="8" spans="1:7">
      <c r="A8" s="69" t="s">
        <v>77</v>
      </c>
      <c r="B8" s="71">
        <f>'TATA ELXSI LIMITED'!J39</f>
        <v>0.33904056441448016</v>
      </c>
      <c r="C8" s="64"/>
      <c r="D8" s="64"/>
      <c r="E8" s="64"/>
      <c r="F8" s="64"/>
      <c r="G8" s="64"/>
    </row>
    <row r="9" spans="1:7">
      <c r="A9" s="69" t="s">
        <v>104</v>
      </c>
      <c r="B9" s="70">
        <f>'TATA ELXSI LIMITED'!F22</f>
        <v>101.63</v>
      </c>
      <c r="C9" s="64"/>
      <c r="D9" s="64"/>
      <c r="E9" s="64"/>
      <c r="F9" s="64"/>
      <c r="G9" s="64"/>
    </row>
    <row r="10" spans="1:7" ht="13.85">
      <c r="A10" s="72" t="s">
        <v>105</v>
      </c>
      <c r="B10" s="73"/>
      <c r="C10" s="72">
        <v>2020</v>
      </c>
      <c r="D10" s="72">
        <v>2021</v>
      </c>
      <c r="E10" s="72">
        <v>2022</v>
      </c>
      <c r="F10" s="72">
        <v>2023</v>
      </c>
      <c r="G10" s="72">
        <v>2024</v>
      </c>
    </row>
    <row r="11" spans="1:7">
      <c r="A11" s="64" t="s">
        <v>73</v>
      </c>
      <c r="B11" s="64"/>
      <c r="C11" s="64">
        <f>B2*(1+$B$3)</f>
        <v>1933.5119023187428</v>
      </c>
      <c r="D11" s="64">
        <f>C11*(1+$B$3)</f>
        <v>2279.0118669391081</v>
      </c>
      <c r="E11" s="64">
        <f>D11*(1+$B$3)</f>
        <v>2686.2493493940005</v>
      </c>
      <c r="F11" s="64">
        <f>E11*(1+$B$3)</f>
        <v>3166.2562498242974</v>
      </c>
      <c r="G11" s="64">
        <f>F11*(1+$B$3)</f>
        <v>3732.0357627310491</v>
      </c>
    </row>
    <row r="12" spans="1:7">
      <c r="A12" s="64" t="s">
        <v>39</v>
      </c>
      <c r="B12" s="64"/>
      <c r="C12" s="64">
        <f>$B$4*C11</f>
        <v>478.99957633209738</v>
      </c>
      <c r="D12" s="64">
        <f>$B$4*D11</f>
        <v>564.59218968888217</v>
      </c>
      <c r="E12" s="64">
        <f>$B$4*E11</f>
        <v>665.47937912304701</v>
      </c>
      <c r="F12" s="64">
        <f>$B$4*F11</f>
        <v>784.39413815135333</v>
      </c>
      <c r="G12" s="64">
        <f>$B$4*G11</f>
        <v>924.55781992373386</v>
      </c>
    </row>
    <row r="13" spans="1:7">
      <c r="A13" s="64" t="s">
        <v>106</v>
      </c>
      <c r="B13" s="64"/>
      <c r="C13" s="64">
        <f>$B$5*B19</f>
        <v>24.518562421655904</v>
      </c>
      <c r="D13" s="64">
        <f>$B$5*C19</f>
        <v>27.620107538325804</v>
      </c>
      <c r="E13" s="64">
        <f>$B$5*D19</f>
        <v>31.584597242423019</v>
      </c>
      <c r="F13" s="64">
        <f>$B$5*E19</f>
        <v>36.491749727952104</v>
      </c>
      <c r="G13" s="64">
        <f>$B$5*F19</f>
        <v>42.453497010310919</v>
      </c>
    </row>
    <row r="14" spans="1:7">
      <c r="A14" s="64" t="s">
        <v>47</v>
      </c>
      <c r="B14" s="64"/>
      <c r="C14" s="64">
        <f>C12-C13</f>
        <v>454.48101391044145</v>
      </c>
      <c r="D14" s="64">
        <f>D12-D13</f>
        <v>536.97208215055639</v>
      </c>
      <c r="E14" s="64">
        <f>E12-E13</f>
        <v>633.89478188062401</v>
      </c>
      <c r="F14" s="64">
        <f>F12-F13</f>
        <v>747.90238842340125</v>
      </c>
      <c r="G14" s="64">
        <f>G12-G13</f>
        <v>882.10432291342295</v>
      </c>
    </row>
    <row r="15" spans="1:7">
      <c r="A15" s="64" t="s">
        <v>107</v>
      </c>
      <c r="B15" s="64"/>
      <c r="C15" s="64">
        <f>C14*(1-$B$8)</f>
        <v>300.39351443858016</v>
      </c>
      <c r="D15" s="64">
        <f>D14*(1-$B$8)</f>
        <v>354.91676434341315</v>
      </c>
      <c r="E15" s="64">
        <f>E14*(1-$B$8)</f>
        <v>418.97873725242346</v>
      </c>
      <c r="F15" s="64">
        <f>F14*(1-$B$8)</f>
        <v>494.3331405253935</v>
      </c>
      <c r="G15" s="64">
        <f>G14*(1-$B$8)</f>
        <v>583.0351754004032</v>
      </c>
    </row>
    <row r="16" spans="1:7">
      <c r="A16" s="64"/>
      <c r="B16" s="64"/>
      <c r="C16" s="64"/>
      <c r="D16" s="64"/>
      <c r="E16" s="64"/>
      <c r="F16" s="64"/>
      <c r="G16" s="64"/>
    </row>
    <row r="17" spans="1:7" ht="13.85">
      <c r="A17" s="72" t="s">
        <v>108</v>
      </c>
      <c r="B17" s="72">
        <v>2019</v>
      </c>
      <c r="C17" s="72">
        <v>2020</v>
      </c>
      <c r="D17" s="72">
        <v>2021</v>
      </c>
      <c r="E17" s="72">
        <v>2022</v>
      </c>
      <c r="F17" s="72">
        <v>2023</v>
      </c>
      <c r="G17" s="72">
        <v>2024</v>
      </c>
    </row>
    <row r="18" spans="1:7">
      <c r="A18" s="64" t="s">
        <v>94</v>
      </c>
      <c r="B18" s="64">
        <f>'TATA ELXSI LIMITED'!F37</f>
        <v>821.15</v>
      </c>
      <c r="C18" s="64">
        <f>$B$7*C11</f>
        <v>679.95338350141208</v>
      </c>
      <c r="D18" s="64">
        <f>$B$7*D11</f>
        <v>801.45450778283259</v>
      </c>
      <c r="E18" s="64">
        <f>$B$7*E11</f>
        <v>944.66671338225444</v>
      </c>
      <c r="F18" s="64">
        <f>$B$7*F11</f>
        <v>1113.4695615365354</v>
      </c>
      <c r="G18" s="64">
        <f>$B$7*G11</f>
        <v>1312.4358537302246</v>
      </c>
    </row>
    <row r="19" spans="1:7">
      <c r="A19" s="64" t="s">
        <v>109</v>
      </c>
      <c r="B19" s="74">
        <f>B9</f>
        <v>101.63</v>
      </c>
      <c r="C19" s="74">
        <f>B19+C25-C13</f>
        <v>114.4859751908111</v>
      </c>
      <c r="D19" s="74">
        <f>C19+D25-D13</f>
        <v>130.91887536245946</v>
      </c>
      <c r="E19" s="74">
        <f>D19+E25-E13</f>
        <v>151.25913424582018</v>
      </c>
      <c r="F19" s="74">
        <f>E19+F25-F13</f>
        <v>175.97071259557589</v>
      </c>
      <c r="G19" s="74">
        <f>F19+G25-G13</f>
        <v>205.6569892365107</v>
      </c>
    </row>
    <row r="20" spans="1:7">
      <c r="A20" s="64" t="s">
        <v>17</v>
      </c>
      <c r="B20" s="74">
        <f>B19+B18</f>
        <v>922.78</v>
      </c>
      <c r="C20" s="74">
        <f t="shared" ref="C20:G20" si="0">C19+C18</f>
        <v>794.43935869222321</v>
      </c>
      <c r="D20" s="74">
        <f t="shared" si="0"/>
        <v>932.37338314529211</v>
      </c>
      <c r="E20" s="74">
        <f t="shared" si="0"/>
        <v>1095.9258476280747</v>
      </c>
      <c r="F20" s="74">
        <f t="shared" si="0"/>
        <v>1289.4402741321112</v>
      </c>
      <c r="G20" s="74">
        <f t="shared" si="0"/>
        <v>1518.0928429667354</v>
      </c>
    </row>
    <row r="21" spans="1:7">
      <c r="A21" s="64"/>
      <c r="B21" s="64"/>
      <c r="C21" s="74"/>
      <c r="D21" s="64"/>
      <c r="E21" s="64"/>
      <c r="F21" s="64"/>
      <c r="G21" s="64"/>
    </row>
    <row r="22" spans="1:7">
      <c r="A22" s="64"/>
      <c r="B22" s="64"/>
      <c r="C22" s="64"/>
      <c r="D22" s="64"/>
      <c r="E22" s="64"/>
      <c r="F22" s="64"/>
      <c r="G22" s="64"/>
    </row>
    <row r="23" spans="1:7">
      <c r="A23" s="64"/>
      <c r="B23" s="64"/>
      <c r="C23" s="64"/>
      <c r="D23" s="64"/>
      <c r="E23" s="64"/>
      <c r="F23" s="64"/>
      <c r="G23" s="64"/>
    </row>
    <row r="24" spans="1:7">
      <c r="A24" s="64"/>
      <c r="B24" s="64"/>
      <c r="C24" s="74"/>
      <c r="D24" s="64"/>
      <c r="E24" s="64"/>
      <c r="F24" s="64"/>
      <c r="G24" s="64"/>
    </row>
    <row r="25" spans="1:7">
      <c r="A25" s="64" t="s">
        <v>110</v>
      </c>
      <c r="B25" s="64"/>
      <c r="C25" s="64">
        <f>$B$6*C11</f>
        <v>37.374537612467023</v>
      </c>
      <c r="D25" s="64">
        <f>$B$6*D11</f>
        <v>44.053007709974167</v>
      </c>
      <c r="E25" s="64">
        <f>$B$6*E11</f>
        <v>51.924856125783741</v>
      </c>
      <c r="F25" s="64">
        <f>$B$6*F11</f>
        <v>61.20332807770783</v>
      </c>
      <c r="G25" s="64">
        <f>$B$6*G11</f>
        <v>72.139773651245733</v>
      </c>
    </row>
    <row r="26" spans="1:7">
      <c r="A26" s="64"/>
      <c r="B26" s="64"/>
      <c r="C26" s="64"/>
      <c r="D26" s="64"/>
      <c r="E26" s="64"/>
      <c r="F26" s="64"/>
      <c r="G26" s="64"/>
    </row>
    <row r="27" spans="1:7" ht="13.85">
      <c r="A27" s="72" t="s">
        <v>111</v>
      </c>
      <c r="B27" s="73"/>
      <c r="C27" s="72">
        <v>2020</v>
      </c>
      <c r="D27" s="72">
        <v>2021</v>
      </c>
      <c r="E27" s="72">
        <v>2022</v>
      </c>
      <c r="F27" s="72">
        <v>2023</v>
      </c>
      <c r="G27" s="72">
        <v>2024</v>
      </c>
    </row>
    <row r="28" spans="1:7">
      <c r="A28" s="64" t="s">
        <v>112</v>
      </c>
      <c r="B28" s="64"/>
      <c r="C28" s="64">
        <f>C15</f>
        <v>300.39351443858016</v>
      </c>
      <c r="D28" s="64">
        <f>D15</f>
        <v>354.91676434341315</v>
      </c>
      <c r="E28" s="64">
        <f>E15</f>
        <v>418.97873725242346</v>
      </c>
      <c r="F28" s="64">
        <f>F15</f>
        <v>494.3331405253935</v>
      </c>
      <c r="G28" s="64">
        <f>G15</f>
        <v>583.0351754004032</v>
      </c>
    </row>
    <row r="29" spans="1:7">
      <c r="A29" s="64" t="s">
        <v>113</v>
      </c>
      <c r="B29" s="64"/>
      <c r="C29" s="64">
        <f>C13</f>
        <v>24.518562421655904</v>
      </c>
      <c r="D29" s="64">
        <f>D13</f>
        <v>27.620107538325804</v>
      </c>
      <c r="E29" s="64">
        <f>E13</f>
        <v>31.584597242423019</v>
      </c>
      <c r="F29" s="64">
        <f>F13</f>
        <v>36.491749727952104</v>
      </c>
      <c r="G29" s="64">
        <f>G13</f>
        <v>42.453497010310919</v>
      </c>
    </row>
    <row r="30" spans="1:7">
      <c r="A30" s="64" t="s">
        <v>93</v>
      </c>
      <c r="B30" s="64"/>
      <c r="C30" s="64">
        <f>C25</f>
        <v>37.374537612467023</v>
      </c>
      <c r="D30" s="64">
        <f>D25</f>
        <v>44.053007709974167</v>
      </c>
      <c r="E30" s="64">
        <f>E25</f>
        <v>51.924856125783741</v>
      </c>
      <c r="F30" s="64">
        <f>F25</f>
        <v>61.20332807770783</v>
      </c>
      <c r="G30" s="64">
        <f>G25</f>
        <v>72.139773651245733</v>
      </c>
    </row>
    <row r="31" spans="1:7">
      <c r="A31" s="64" t="s">
        <v>114</v>
      </c>
      <c r="B31" s="64"/>
      <c r="C31" s="64">
        <f>C18-B18</f>
        <v>-141.1966164985879</v>
      </c>
      <c r="D31" s="64">
        <f>D18-C18</f>
        <v>121.50112428142052</v>
      </c>
      <c r="E31" s="64">
        <f>E18-D18</f>
        <v>143.21220559942185</v>
      </c>
      <c r="F31" s="64">
        <f>F18-E18</f>
        <v>168.80284815428092</v>
      </c>
      <c r="G31" s="64">
        <f>G18-F18</f>
        <v>198.96629219368924</v>
      </c>
    </row>
    <row r="32" spans="1:7">
      <c r="A32" s="64"/>
      <c r="B32" s="64"/>
      <c r="C32" s="64"/>
      <c r="D32" s="64"/>
      <c r="E32" s="64"/>
      <c r="F32" s="64"/>
      <c r="G32" s="64"/>
    </row>
    <row r="33" spans="1:13">
      <c r="A33" s="64" t="s">
        <v>68</v>
      </c>
      <c r="B33" s="64"/>
      <c r="C33" s="64">
        <f>C28+C29-C30-C31</f>
        <v>428.73415574635698</v>
      </c>
      <c r="D33" s="64">
        <f>D28+D29-D30-D31</f>
        <v>216.98273989034425</v>
      </c>
      <c r="E33" s="64">
        <f>E28+E29-E30-E31</f>
        <v>255.42627276964089</v>
      </c>
      <c r="F33" s="64">
        <f>F28+F29-F30-F31</f>
        <v>300.81871402135687</v>
      </c>
      <c r="G33" s="64">
        <f>G28+G29-G30-G31</f>
        <v>354.38260656577916</v>
      </c>
    </row>
    <row r="35" spans="1:13">
      <c r="A35" s="65" t="s">
        <v>137</v>
      </c>
      <c r="B35" s="67">
        <v>0.13819999999999999</v>
      </c>
    </row>
    <row r="36" spans="1:13">
      <c r="A36" t="s">
        <v>149</v>
      </c>
      <c r="B36">
        <v>0</v>
      </c>
    </row>
    <row r="37" spans="1:13">
      <c r="A37" s="76" t="s">
        <v>126</v>
      </c>
      <c r="B37" s="64">
        <v>6.2270000000000003</v>
      </c>
    </row>
    <row r="38" spans="1:13">
      <c r="A38" s="510" t="s">
        <v>143</v>
      </c>
      <c r="B38" s="511"/>
      <c r="C38" s="511"/>
      <c r="D38" s="511"/>
      <c r="E38" s="511"/>
      <c r="F38" s="511"/>
      <c r="G38" s="511"/>
      <c r="H38" s="511"/>
      <c r="I38" s="511"/>
      <c r="J38" s="511"/>
      <c r="K38" s="511"/>
      <c r="L38" s="511"/>
      <c r="M38" s="512"/>
    </row>
    <row r="39" spans="1:13">
      <c r="A39" s="87" t="s">
        <v>128</v>
      </c>
      <c r="B39" s="85"/>
      <c r="C39" s="85"/>
      <c r="D39" s="85"/>
      <c r="E39" s="85"/>
      <c r="F39" s="85"/>
      <c r="G39" s="85"/>
      <c r="H39" s="86"/>
      <c r="I39" s="87" t="s">
        <v>128</v>
      </c>
      <c r="J39" s="85"/>
      <c r="K39" s="85"/>
      <c r="L39" s="85"/>
      <c r="M39" s="85"/>
    </row>
    <row r="40" spans="1:13">
      <c r="A40" s="85" t="s">
        <v>115</v>
      </c>
      <c r="B40" s="85"/>
      <c r="C40" s="88">
        <v>3.5000000000000003E-2</v>
      </c>
      <c r="D40" s="85"/>
      <c r="E40" s="85"/>
      <c r="F40" s="85"/>
      <c r="G40" s="85"/>
      <c r="H40" s="86"/>
      <c r="I40" s="85" t="s">
        <v>115</v>
      </c>
      <c r="J40" s="85"/>
      <c r="K40" s="88">
        <v>1.4999999999999999E-2</v>
      </c>
      <c r="L40" s="85"/>
      <c r="M40" s="85"/>
    </row>
    <row r="41" spans="1:13">
      <c r="A41" s="85" t="s">
        <v>116</v>
      </c>
      <c r="B41" s="85"/>
      <c r="C41" s="85">
        <f>G33*(1+C40)/(B35-C40)</f>
        <v>3554.1278856160993</v>
      </c>
      <c r="D41" s="85" t="s">
        <v>117</v>
      </c>
      <c r="E41" s="85"/>
      <c r="F41" s="85"/>
      <c r="G41" s="85"/>
      <c r="H41" s="86"/>
      <c r="I41" s="85" t="s">
        <v>116</v>
      </c>
      <c r="J41" s="85"/>
      <c r="K41" s="85">
        <f>G33*(1+K40)/(B35-K40)</f>
        <v>2919.6294290930668</v>
      </c>
      <c r="L41" s="85" t="s">
        <v>117</v>
      </c>
      <c r="M41" s="85"/>
    </row>
    <row r="42" spans="1:13">
      <c r="A42" s="85" t="s">
        <v>118</v>
      </c>
      <c r="B42" s="85"/>
      <c r="C42" s="85">
        <f>C41/(1+$B$35)^5</f>
        <v>1860.5448533229064</v>
      </c>
      <c r="D42" s="85" t="s">
        <v>117</v>
      </c>
      <c r="E42" s="85"/>
      <c r="F42" s="85"/>
      <c r="G42" s="85"/>
      <c r="H42" s="86"/>
      <c r="I42" s="85" t="s">
        <v>118</v>
      </c>
      <c r="J42" s="85"/>
      <c r="K42" s="85">
        <f>K41/(1+$B$35)^5</f>
        <v>1528.392247756037</v>
      </c>
      <c r="L42" s="85" t="s">
        <v>117</v>
      </c>
      <c r="M42" s="85"/>
    </row>
    <row r="43" spans="1:13">
      <c r="A43" s="85"/>
      <c r="B43" s="85"/>
      <c r="C43" s="85"/>
      <c r="D43" s="85"/>
      <c r="E43" s="85"/>
      <c r="F43" s="85"/>
      <c r="G43" s="85"/>
      <c r="H43" s="86"/>
      <c r="I43" s="85"/>
      <c r="J43" s="85"/>
      <c r="K43" s="85"/>
      <c r="L43" s="85"/>
      <c r="M43" s="85"/>
    </row>
    <row r="44" spans="1:13">
      <c r="A44" s="85" t="s">
        <v>119</v>
      </c>
      <c r="B44" s="89">
        <f>NPV(B35,C33:G33)+C42</f>
        <v>2942.6899482310037</v>
      </c>
      <c r="C44" s="85" t="s">
        <v>117</v>
      </c>
      <c r="D44" s="85"/>
      <c r="E44" s="85"/>
      <c r="F44" s="85"/>
      <c r="G44" s="85"/>
      <c r="H44" s="86"/>
      <c r="I44" s="85" t="s">
        <v>119</v>
      </c>
      <c r="J44" s="89">
        <f>NPV(B35,C33:G33)+K42</f>
        <v>2610.5373426641345</v>
      </c>
      <c r="K44" s="85" t="s">
        <v>117</v>
      </c>
      <c r="L44" s="85"/>
      <c r="M44" s="85"/>
    </row>
    <row r="45" spans="1:13">
      <c r="A45" s="85" t="s">
        <v>120</v>
      </c>
      <c r="B45" s="89">
        <f>B44-B36</f>
        <v>2942.6899482310037</v>
      </c>
      <c r="C45" s="85" t="s">
        <v>117</v>
      </c>
      <c r="D45" s="85"/>
      <c r="E45" s="85"/>
      <c r="F45" s="85"/>
      <c r="G45" s="85"/>
      <c r="H45" s="86"/>
      <c r="I45" s="85" t="s">
        <v>120</v>
      </c>
      <c r="J45" s="89">
        <f>J44-B36</f>
        <v>2610.5373426641345</v>
      </c>
      <c r="K45" s="85" t="s">
        <v>117</v>
      </c>
      <c r="L45" s="85"/>
      <c r="M45" s="85"/>
    </row>
    <row r="46" spans="1:13">
      <c r="A46" s="85" t="s">
        <v>121</v>
      </c>
      <c r="B46" s="85">
        <f>55000/B37</f>
        <v>8832.5036132969326</v>
      </c>
      <c r="C46" s="85" t="s">
        <v>122</v>
      </c>
      <c r="D46" s="85"/>
      <c r="E46" s="86"/>
      <c r="F46" s="86"/>
      <c r="G46" s="86"/>
      <c r="H46" s="86"/>
      <c r="I46" s="85" t="s">
        <v>121</v>
      </c>
      <c r="J46" s="85">
        <f>40000/B37</f>
        <v>6423.6389914886777</v>
      </c>
      <c r="K46" s="85" t="s">
        <v>122</v>
      </c>
      <c r="L46" s="85"/>
      <c r="M46" s="86"/>
    </row>
    <row r="47" spans="1:13">
      <c r="A47" s="85" t="s">
        <v>123</v>
      </c>
      <c r="B47" s="90">
        <v>8358</v>
      </c>
      <c r="C47" s="85" t="s">
        <v>122</v>
      </c>
      <c r="D47" s="91" t="s">
        <v>127</v>
      </c>
      <c r="E47" s="85"/>
      <c r="F47" s="85"/>
      <c r="G47" s="85"/>
      <c r="H47" s="86"/>
      <c r="I47" s="85" t="s">
        <v>123</v>
      </c>
      <c r="J47" s="90">
        <v>8358</v>
      </c>
      <c r="K47" s="85" t="s">
        <v>122</v>
      </c>
      <c r="L47" s="91" t="s">
        <v>127</v>
      </c>
      <c r="M47" s="85"/>
    </row>
    <row r="50" spans="1:19">
      <c r="A50" s="513" t="s">
        <v>139</v>
      </c>
      <c r="B50" s="513"/>
      <c r="C50" s="513"/>
      <c r="D50" s="513"/>
      <c r="E50" s="513"/>
      <c r="F50" s="513"/>
      <c r="G50" s="513"/>
      <c r="H50" s="513"/>
      <c r="I50" s="513"/>
      <c r="J50" s="513"/>
      <c r="K50" s="513"/>
      <c r="L50" s="513"/>
      <c r="M50" s="513"/>
      <c r="N50" s="513"/>
      <c r="O50" s="513"/>
      <c r="P50" s="513"/>
      <c r="Q50" s="513"/>
      <c r="R50" s="513"/>
      <c r="S50" s="513"/>
    </row>
    <row r="51" spans="1:19">
      <c r="A51" s="86"/>
      <c r="B51" s="86">
        <v>2015</v>
      </c>
      <c r="C51" s="86">
        <v>2016</v>
      </c>
      <c r="D51" s="86">
        <v>2017</v>
      </c>
      <c r="E51" s="86">
        <v>2018</v>
      </c>
      <c r="F51" s="86">
        <v>2019</v>
      </c>
      <c r="G51" s="86"/>
      <c r="H51" s="86"/>
      <c r="I51" s="86"/>
      <c r="J51" s="86"/>
      <c r="K51" s="86"/>
      <c r="L51" s="86">
        <v>2015</v>
      </c>
      <c r="M51" s="86">
        <v>2016</v>
      </c>
      <c r="N51" s="86">
        <v>2017</v>
      </c>
      <c r="O51" s="86">
        <v>2018</v>
      </c>
      <c r="P51" s="86">
        <v>2019</v>
      </c>
      <c r="Q51" s="86"/>
      <c r="R51" s="86"/>
      <c r="S51" s="86"/>
    </row>
    <row r="52" spans="1:19">
      <c r="A52" s="86" t="s">
        <v>140</v>
      </c>
      <c r="B52" s="86">
        <v>19.14</v>
      </c>
      <c r="C52" s="86">
        <v>21.91</v>
      </c>
      <c r="D52" s="86">
        <v>14.78</v>
      </c>
      <c r="E52" s="86">
        <v>14.75</v>
      </c>
      <c r="F52" s="86">
        <v>11.96</v>
      </c>
      <c r="G52" s="86"/>
      <c r="H52" s="86"/>
      <c r="I52" s="86"/>
      <c r="J52" s="86"/>
      <c r="K52" s="86" t="s">
        <v>140</v>
      </c>
      <c r="L52" s="86">
        <v>19.14</v>
      </c>
      <c r="M52" s="86">
        <v>21.91</v>
      </c>
      <c r="N52" s="86">
        <v>14.78</v>
      </c>
      <c r="O52" s="86">
        <v>14.75</v>
      </c>
      <c r="P52" s="86">
        <v>11.96</v>
      </c>
      <c r="Q52" s="86"/>
      <c r="R52" s="86" t="s">
        <v>141</v>
      </c>
      <c r="S52" s="86">
        <v>25</v>
      </c>
    </row>
    <row r="53" spans="1:19">
      <c r="A53" s="86" t="s">
        <v>142</v>
      </c>
      <c r="B53" s="86">
        <f>'TATA ELXSI LIMITED'!F11</f>
        <v>458.5</v>
      </c>
      <c r="C53" s="86"/>
      <c r="D53" s="86"/>
      <c r="E53" s="86"/>
      <c r="F53" s="86"/>
      <c r="G53" s="86"/>
      <c r="H53" s="86"/>
      <c r="I53" s="86"/>
      <c r="J53" s="86"/>
      <c r="K53" s="86" t="s">
        <v>142</v>
      </c>
      <c r="L53" s="86">
        <f>B53</f>
        <v>458.5</v>
      </c>
      <c r="M53" s="86"/>
      <c r="N53" s="86"/>
      <c r="O53" s="86"/>
      <c r="P53" s="86"/>
      <c r="Q53" s="86"/>
      <c r="R53" s="86"/>
      <c r="S53" s="86"/>
    </row>
    <row r="54" spans="1:19">
      <c r="A54" s="85" t="s">
        <v>118</v>
      </c>
      <c r="B54" s="85">
        <f>B53*G54</f>
        <v>7568.9179999999997</v>
      </c>
      <c r="C54" s="85"/>
      <c r="D54" s="85" t="s">
        <v>117</v>
      </c>
      <c r="E54" s="85"/>
      <c r="F54" s="86" t="s">
        <v>141</v>
      </c>
      <c r="G54" s="86">
        <f>AVERAGE(B52:F52)</f>
        <v>16.507999999999999</v>
      </c>
      <c r="H54" s="86"/>
      <c r="I54" s="86"/>
      <c r="J54" s="86"/>
      <c r="K54" s="85" t="s">
        <v>118</v>
      </c>
      <c r="L54" s="85">
        <f>L53*S52</f>
        <v>11462.5</v>
      </c>
      <c r="M54" s="85"/>
      <c r="N54" s="85" t="s">
        <v>117</v>
      </c>
      <c r="O54" s="85"/>
      <c r="P54" s="85"/>
      <c r="Q54" s="85"/>
      <c r="R54" s="86"/>
      <c r="S54" s="86"/>
    </row>
    <row r="55" spans="1:19">
      <c r="A55" s="85"/>
      <c r="B55" s="85"/>
      <c r="C55" s="85"/>
      <c r="D55" s="85"/>
      <c r="E55" s="85"/>
      <c r="F55" s="85"/>
      <c r="G55" s="85"/>
      <c r="H55" s="86"/>
      <c r="I55" s="86"/>
      <c r="J55" s="86"/>
      <c r="K55" s="85"/>
      <c r="L55" s="85"/>
      <c r="M55" s="85"/>
      <c r="N55" s="85"/>
      <c r="O55" s="85"/>
      <c r="P55" s="85"/>
      <c r="Q55" s="85"/>
      <c r="R55" s="86"/>
      <c r="S55" s="86"/>
    </row>
    <row r="56" spans="1:19">
      <c r="A56" s="85" t="s">
        <v>119</v>
      </c>
      <c r="B56" s="89">
        <f>B54+NPV(B35,C33:G33)</f>
        <v>8651.0630949080969</v>
      </c>
      <c r="C56" s="85" t="s">
        <v>117</v>
      </c>
      <c r="D56" s="85"/>
      <c r="E56" s="85"/>
      <c r="F56" s="85"/>
      <c r="G56" s="85"/>
      <c r="H56" s="86"/>
      <c r="I56" s="86"/>
      <c r="J56" s="86"/>
      <c r="K56" s="85" t="s">
        <v>119</v>
      </c>
      <c r="L56" s="89">
        <f>L54+NPV(B35,C33:G33)</f>
        <v>12544.645094908097</v>
      </c>
      <c r="M56" s="85" t="s">
        <v>117</v>
      </c>
      <c r="N56" s="85"/>
      <c r="O56" s="85"/>
      <c r="P56" s="85"/>
      <c r="Q56" s="85"/>
      <c r="R56" s="86"/>
      <c r="S56" s="86"/>
    </row>
    <row r="57" spans="1:19">
      <c r="A57" s="85" t="s">
        <v>120</v>
      </c>
      <c r="B57" s="89">
        <f>B56-B36</f>
        <v>8651.0630949080969</v>
      </c>
      <c r="C57" s="85" t="s">
        <v>117</v>
      </c>
      <c r="D57" s="85"/>
      <c r="E57" s="85"/>
      <c r="F57" s="85"/>
      <c r="G57" s="85"/>
      <c r="H57" s="86"/>
      <c r="I57" s="86"/>
      <c r="J57" s="86"/>
      <c r="K57" s="85" t="s">
        <v>120</v>
      </c>
      <c r="L57" s="89">
        <f>L56-L36</f>
        <v>12544.645094908097</v>
      </c>
      <c r="M57" s="85" t="s">
        <v>117</v>
      </c>
      <c r="N57" s="85"/>
      <c r="O57" s="85"/>
      <c r="P57" s="85"/>
      <c r="Q57" s="85"/>
      <c r="R57" s="86"/>
      <c r="S57" s="86"/>
    </row>
    <row r="58" spans="1:19">
      <c r="A58" s="85" t="s">
        <v>121</v>
      </c>
      <c r="B58" s="85">
        <f>B57/G58</f>
        <v>1389.2826553570092</v>
      </c>
      <c r="C58" s="85" t="s">
        <v>122</v>
      </c>
      <c r="D58" s="85"/>
      <c r="E58" s="91" t="s">
        <v>126</v>
      </c>
      <c r="F58" s="85"/>
      <c r="G58" s="85">
        <v>6.2270000000000003</v>
      </c>
      <c r="H58" s="86"/>
      <c r="I58" s="86"/>
      <c r="J58" s="86"/>
      <c r="K58" s="85" t="s">
        <v>121</v>
      </c>
      <c r="L58" s="85">
        <f>L57/Q58</f>
        <v>2014.556784150971</v>
      </c>
      <c r="M58" s="85" t="s">
        <v>122</v>
      </c>
      <c r="N58" s="85"/>
      <c r="O58" s="91" t="s">
        <v>126</v>
      </c>
      <c r="P58" s="85"/>
      <c r="Q58" s="85">
        <v>6.2270000000000003</v>
      </c>
      <c r="R58" s="86"/>
      <c r="S58" s="86"/>
    </row>
    <row r="59" spans="1:19">
      <c r="A59" s="85" t="s">
        <v>123</v>
      </c>
      <c r="B59" s="85">
        <v>8357</v>
      </c>
      <c r="C59" s="85" t="s">
        <v>122</v>
      </c>
      <c r="D59" s="91" t="s">
        <v>127</v>
      </c>
      <c r="E59" s="85"/>
      <c r="F59" s="85"/>
      <c r="G59" s="85"/>
      <c r="H59" s="86"/>
      <c r="I59" s="86"/>
      <c r="J59" s="86"/>
      <c r="K59" s="85" t="s">
        <v>123</v>
      </c>
      <c r="L59" s="85">
        <v>8357</v>
      </c>
      <c r="M59" s="85" t="s">
        <v>122</v>
      </c>
      <c r="N59" s="91" t="s">
        <v>127</v>
      </c>
      <c r="O59" s="85"/>
      <c r="P59" s="85"/>
      <c r="Q59" s="85"/>
      <c r="R59" s="86"/>
      <c r="S59" s="86"/>
    </row>
    <row r="63" spans="1:19">
      <c r="A63" s="92" t="s">
        <v>146</v>
      </c>
      <c r="B63" s="86"/>
      <c r="C63" s="86"/>
      <c r="D63" s="86"/>
      <c r="E63" s="86"/>
      <c r="F63" s="86"/>
    </row>
    <row r="64" spans="1:19">
      <c r="A64" s="92" t="s">
        <v>140</v>
      </c>
      <c r="B64" s="86"/>
      <c r="C64" s="86"/>
      <c r="D64" s="86"/>
      <c r="E64" s="86"/>
      <c r="F64" s="86"/>
    </row>
    <row r="65" spans="1:6">
      <c r="A65" s="93" t="s">
        <v>148</v>
      </c>
      <c r="B65" s="86">
        <f>'Industry ratios'!D9</f>
        <v>14.693200000000001</v>
      </c>
      <c r="C65" s="86"/>
      <c r="D65" s="86"/>
      <c r="E65" s="93" t="s">
        <v>148</v>
      </c>
      <c r="F65" s="86">
        <v>19.501999999999999</v>
      </c>
    </row>
    <row r="66" spans="1:6">
      <c r="A66" s="93" t="s">
        <v>147</v>
      </c>
      <c r="B66" s="86">
        <f>'Industry ratios'!D9*'TATA ELXSI LIMITED'!F11</f>
        <v>6736.8322000000007</v>
      </c>
      <c r="C66" s="86"/>
      <c r="D66" s="86"/>
      <c r="E66" s="93" t="s">
        <v>147</v>
      </c>
      <c r="F66" s="86">
        <f>F65*'TATA ELXSI LIMITED'!F11</f>
        <v>8941.6669999999995</v>
      </c>
    </row>
    <row r="67" spans="1:6">
      <c r="A67" s="93" t="s">
        <v>151</v>
      </c>
      <c r="B67" s="86">
        <f>B66-B36</f>
        <v>6736.8322000000007</v>
      </c>
      <c r="C67" s="86"/>
      <c r="D67" s="86"/>
      <c r="E67" s="93" t="s">
        <v>151</v>
      </c>
      <c r="F67" s="86">
        <f>F66-B36</f>
        <v>8941.6669999999995</v>
      </c>
    </row>
    <row r="68" spans="1:6">
      <c r="A68" s="93" t="s">
        <v>152</v>
      </c>
      <c r="B68" s="86">
        <f>B67/G58</f>
        <v>1081.8744499759114</v>
      </c>
      <c r="C68" s="86"/>
      <c r="D68" s="86"/>
      <c r="E68" s="93" t="s">
        <v>152</v>
      </c>
      <c r="F68" s="86">
        <f>F67/B37</f>
        <v>1435.9510197526897</v>
      </c>
    </row>
    <row r="69" spans="1:6">
      <c r="A69" s="93" t="s">
        <v>123</v>
      </c>
      <c r="B69" s="86">
        <v>8357</v>
      </c>
      <c r="C69" s="86"/>
      <c r="D69" s="86"/>
      <c r="E69" s="93" t="s">
        <v>123</v>
      </c>
      <c r="F69" s="86">
        <v>8357</v>
      </c>
    </row>
    <row r="73" spans="1:6">
      <c r="A73" s="92" t="s">
        <v>146</v>
      </c>
      <c r="B73" s="86"/>
      <c r="C73" s="86"/>
      <c r="D73" s="86"/>
      <c r="E73" s="86"/>
      <c r="F73" s="86"/>
    </row>
    <row r="74" spans="1:6">
      <c r="A74" s="92" t="s">
        <v>153</v>
      </c>
      <c r="B74" s="86"/>
      <c r="C74" s="86"/>
      <c r="D74" s="86"/>
      <c r="E74" s="86"/>
      <c r="F74" s="86"/>
    </row>
    <row r="75" spans="1:6">
      <c r="A75" s="93" t="s">
        <v>148</v>
      </c>
      <c r="B75" s="86">
        <f>50.952</f>
        <v>50.951999999999998</v>
      </c>
      <c r="C75" s="86"/>
      <c r="D75" s="86"/>
      <c r="E75" s="93" t="s">
        <v>148</v>
      </c>
      <c r="F75" s="86">
        <f>94.7</f>
        <v>94.7</v>
      </c>
    </row>
    <row r="76" spans="1:6">
      <c r="A76" s="93" t="s">
        <v>154</v>
      </c>
      <c r="B76" s="86">
        <v>88.26</v>
      </c>
      <c r="C76" s="86"/>
      <c r="D76" s="86"/>
      <c r="E76" s="93" t="s">
        <v>154</v>
      </c>
      <c r="F76" s="86">
        <v>88.26</v>
      </c>
    </row>
    <row r="77" spans="1:6">
      <c r="A77" s="93" t="s">
        <v>155</v>
      </c>
      <c r="B77" s="86">
        <f>B75*B76</f>
        <v>4497.0235199999997</v>
      </c>
      <c r="C77" s="86"/>
      <c r="D77" s="86"/>
      <c r="E77" s="93" t="s">
        <v>155</v>
      </c>
      <c r="F77" s="86">
        <f>F75*F76</f>
        <v>8358.2220000000016</v>
      </c>
    </row>
    <row r="78" spans="1:6">
      <c r="A78" s="93" t="s">
        <v>123</v>
      </c>
      <c r="B78" s="86">
        <v>8357</v>
      </c>
      <c r="C78" s="86"/>
      <c r="D78" s="86"/>
      <c r="E78" s="93" t="s">
        <v>123</v>
      </c>
      <c r="F78" s="86">
        <v>8357</v>
      </c>
    </row>
    <row r="79" spans="1:6">
      <c r="A79" s="93"/>
      <c r="B79" s="86"/>
      <c r="C79" s="86"/>
      <c r="D79" s="86"/>
      <c r="E79" s="86"/>
      <c r="F79" s="86"/>
    </row>
    <row r="82" spans="1:5">
      <c r="A82" s="77" t="s">
        <v>156</v>
      </c>
    </row>
    <row r="83" spans="1:5">
      <c r="A83" s="77" t="s">
        <v>157</v>
      </c>
    </row>
    <row r="84" spans="1:5">
      <c r="A84" s="86" t="s">
        <v>158</v>
      </c>
      <c r="B84" s="86">
        <f>'Industry ratios'!H9</f>
        <v>2.2650000000000001</v>
      </c>
      <c r="C84" s="86"/>
      <c r="D84" s="86" t="s">
        <v>158</v>
      </c>
      <c r="E84" s="86">
        <f>3.41</f>
        <v>3.41</v>
      </c>
    </row>
    <row r="85" spans="1:5">
      <c r="A85" s="86" t="s">
        <v>159</v>
      </c>
      <c r="B85" s="94">
        <v>18.91</v>
      </c>
      <c r="C85" s="86"/>
      <c r="D85" s="86" t="s">
        <v>159</v>
      </c>
      <c r="E85" s="94">
        <v>18.91</v>
      </c>
    </row>
    <row r="86" spans="1:5">
      <c r="A86" s="86" t="s">
        <v>160</v>
      </c>
      <c r="B86" s="86">
        <f>B84*B85</f>
        <v>42.831150000000001</v>
      </c>
      <c r="C86" s="86"/>
      <c r="D86" s="86" t="s">
        <v>160</v>
      </c>
      <c r="E86" s="86">
        <f>E84*E85</f>
        <v>64.483100000000007</v>
      </c>
    </row>
    <row r="87" spans="1:5">
      <c r="A87" s="93" t="s">
        <v>154</v>
      </c>
      <c r="B87" s="86">
        <v>88.26</v>
      </c>
      <c r="C87" s="86"/>
      <c r="D87" s="93" t="s">
        <v>154</v>
      </c>
      <c r="E87" s="86">
        <v>88.26</v>
      </c>
    </row>
    <row r="88" spans="1:5">
      <c r="A88" s="93" t="s">
        <v>155</v>
      </c>
      <c r="B88" s="86">
        <f>B86*B87</f>
        <v>3780.2772990000003</v>
      </c>
      <c r="C88" s="86"/>
      <c r="D88" s="93" t="s">
        <v>155</v>
      </c>
      <c r="E88" s="86">
        <f>E86*E87</f>
        <v>5691.2784060000013</v>
      </c>
    </row>
    <row r="89" spans="1:5">
      <c r="A89" s="93" t="s">
        <v>123</v>
      </c>
      <c r="B89" s="86">
        <v>8357</v>
      </c>
      <c r="C89" s="86"/>
      <c r="D89" s="93" t="s">
        <v>123</v>
      </c>
      <c r="E89" s="86">
        <v>8357</v>
      </c>
    </row>
    <row r="92" spans="1:5">
      <c r="A92" s="82" t="s">
        <v>146</v>
      </c>
      <c r="B92" s="80"/>
    </row>
    <row r="93" spans="1:5">
      <c r="A93" s="82" t="s">
        <v>161</v>
      </c>
      <c r="B93" s="80"/>
    </row>
    <row r="94" spans="1:5">
      <c r="A94" s="93" t="s">
        <v>164</v>
      </c>
      <c r="B94" s="86">
        <f>'Industry ratios'!J9</f>
        <v>8.3279999999999994</v>
      </c>
      <c r="C94" s="86"/>
      <c r="D94" s="93" t="s">
        <v>148</v>
      </c>
      <c r="E94" s="86">
        <v>30</v>
      </c>
    </row>
    <row r="95" spans="1:5">
      <c r="A95" s="93" t="s">
        <v>147</v>
      </c>
      <c r="B95" s="86">
        <f>B94*'TATA ELXSI LIMITED'!F10</f>
        <v>13661.16792</v>
      </c>
      <c r="C95" s="86"/>
      <c r="D95" s="93" t="s">
        <v>147</v>
      </c>
      <c r="E95" s="86">
        <f>E94*'TATA ELXSI LIMITED'!F10</f>
        <v>49211.700000000004</v>
      </c>
    </row>
    <row r="96" spans="1:5">
      <c r="A96" s="93" t="s">
        <v>151</v>
      </c>
      <c r="B96" s="86">
        <f>B95-B36</f>
        <v>13661.16792</v>
      </c>
      <c r="C96" s="86"/>
      <c r="D96" s="93" t="s">
        <v>151</v>
      </c>
      <c r="E96" s="86">
        <f>E95-E36</f>
        <v>49211.700000000004</v>
      </c>
    </row>
    <row r="97" spans="1:5">
      <c r="A97" s="93" t="s">
        <v>152</v>
      </c>
      <c r="B97" s="86">
        <f>B96/G58</f>
        <v>2193.8602730046568</v>
      </c>
      <c r="C97" s="86"/>
      <c r="D97" s="93" t="s">
        <v>152</v>
      </c>
      <c r="E97" s="86">
        <f>E96/B37</f>
        <v>7902.9548739360853</v>
      </c>
    </row>
    <row r="98" spans="1:5">
      <c r="A98" s="93" t="s">
        <v>123</v>
      </c>
      <c r="B98" s="86">
        <v>8357</v>
      </c>
      <c r="C98" s="86"/>
      <c r="D98" s="93" t="s">
        <v>123</v>
      </c>
      <c r="E98" s="86">
        <v>8357</v>
      </c>
    </row>
  </sheetData>
  <mergeCells count="2">
    <mergeCell ref="A38:M38"/>
    <mergeCell ref="A50:S5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O984"/>
  <sheetViews>
    <sheetView zoomScale="55" zoomScaleNormal="55" workbookViewId="0">
      <selection activeCell="H22" sqref="H22"/>
    </sheetView>
  </sheetViews>
  <sheetFormatPr defaultColWidth="12.6640625" defaultRowHeight="15.7" customHeight="1"/>
  <cols>
    <col min="1" max="1" width="36.88671875" customWidth="1"/>
    <col min="8" max="8" width="20" customWidth="1"/>
    <col min="10" max="10" width="30.6640625" customWidth="1"/>
  </cols>
  <sheetData>
    <row r="1" spans="1:34" ht="12.7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27" t="s">
        <v>20</v>
      </c>
    </row>
    <row r="2" spans="1:34" ht="14.4">
      <c r="A2" s="38">
        <v>15</v>
      </c>
      <c r="B2" s="38">
        <v>224.77</v>
      </c>
      <c r="C2" s="38">
        <v>58.57</v>
      </c>
      <c r="D2" s="38">
        <v>46.38</v>
      </c>
      <c r="E2" s="38">
        <v>1.93</v>
      </c>
      <c r="F2" s="38">
        <v>1.56</v>
      </c>
      <c r="G2" s="38">
        <v>222.97</v>
      </c>
      <c r="H2" s="38">
        <v>12.19</v>
      </c>
      <c r="I2" s="38">
        <v>24.44</v>
      </c>
      <c r="J2" s="38">
        <v>239.6</v>
      </c>
      <c r="K2" s="38">
        <v>217.5</v>
      </c>
      <c r="L2" s="38">
        <v>54</v>
      </c>
      <c r="M2" s="38">
        <v>129.43</v>
      </c>
      <c r="N2" s="38">
        <v>396.56</v>
      </c>
      <c r="O2" s="38">
        <v>2.59</v>
      </c>
      <c r="P2" s="38">
        <v>203.15</v>
      </c>
      <c r="Q2" s="38">
        <v>0.01</v>
      </c>
      <c r="R2" s="38">
        <v>617.25</v>
      </c>
      <c r="S2" s="38">
        <v>122.25</v>
      </c>
      <c r="T2" s="38">
        <v>19.64</v>
      </c>
      <c r="U2" s="38">
        <v>617.25</v>
      </c>
    </row>
    <row r="3" spans="1:34" ht="14.4">
      <c r="A3" s="38">
        <v>16</v>
      </c>
      <c r="B3" s="38">
        <v>264.98</v>
      </c>
      <c r="C3" s="38">
        <v>69.86</v>
      </c>
      <c r="D3" s="38">
        <v>66.290000000000006</v>
      </c>
      <c r="E3" s="38">
        <v>20.83</v>
      </c>
      <c r="F3" s="38">
        <v>14.31</v>
      </c>
      <c r="G3" s="38">
        <v>264.24</v>
      </c>
      <c r="H3" s="38">
        <v>3.57</v>
      </c>
      <c r="I3" s="38">
        <v>30.03</v>
      </c>
      <c r="J3" s="38">
        <v>587.5</v>
      </c>
      <c r="K3" s="39"/>
      <c r="L3" s="39"/>
      <c r="M3" s="38">
        <v>61.8</v>
      </c>
      <c r="N3" s="38">
        <v>412.85</v>
      </c>
      <c r="O3" s="38">
        <v>1.77</v>
      </c>
      <c r="P3" s="38">
        <v>249.05</v>
      </c>
      <c r="Q3" s="38">
        <v>0.22</v>
      </c>
      <c r="R3" s="38">
        <v>685.14</v>
      </c>
      <c r="S3" s="38">
        <v>147.1</v>
      </c>
      <c r="T3" s="38">
        <v>23.94</v>
      </c>
      <c r="U3" s="38">
        <v>685.14</v>
      </c>
    </row>
    <row r="4" spans="1:34" ht="14.4">
      <c r="A4" s="38">
        <v>17</v>
      </c>
      <c r="B4" s="38">
        <v>287.70999999999998</v>
      </c>
      <c r="C4" s="38">
        <v>56.91</v>
      </c>
      <c r="D4" s="38">
        <v>55.64</v>
      </c>
      <c r="E4" s="38">
        <v>9.2200000000000006</v>
      </c>
      <c r="F4" s="38">
        <v>50.68</v>
      </c>
      <c r="G4" s="38">
        <v>287.39999999999998</v>
      </c>
      <c r="H4" s="38">
        <v>1.27</v>
      </c>
      <c r="I4" s="38">
        <v>30.44</v>
      </c>
      <c r="J4" s="38">
        <v>654.67999999999995</v>
      </c>
      <c r="K4" s="39"/>
      <c r="L4" s="38">
        <v>5</v>
      </c>
      <c r="M4" s="38">
        <v>46.97</v>
      </c>
      <c r="N4" s="38">
        <v>441.79</v>
      </c>
      <c r="O4" s="38">
        <v>2</v>
      </c>
      <c r="P4" s="38">
        <v>231.93</v>
      </c>
      <c r="Q4" s="38">
        <v>0.02</v>
      </c>
      <c r="R4" s="38">
        <v>739.45</v>
      </c>
      <c r="S4" s="38">
        <v>117.24</v>
      </c>
      <c r="T4" s="38">
        <v>20.079999999999998</v>
      </c>
      <c r="U4" s="38">
        <v>739.45</v>
      </c>
    </row>
    <row r="5" spans="1:34" ht="14.4">
      <c r="A5" s="38">
        <v>18</v>
      </c>
      <c r="B5" s="38">
        <v>298.22000000000003</v>
      </c>
      <c r="C5" s="38">
        <v>134.69</v>
      </c>
      <c r="D5" s="38">
        <v>133.49</v>
      </c>
      <c r="E5" s="38">
        <v>84.81</v>
      </c>
      <c r="F5" s="38">
        <v>65.84</v>
      </c>
      <c r="G5" s="38">
        <v>298.10000000000002</v>
      </c>
      <c r="H5" s="38">
        <v>1.2</v>
      </c>
      <c r="I5" s="38">
        <v>30.58</v>
      </c>
      <c r="J5" s="38">
        <v>724.36</v>
      </c>
      <c r="K5" s="39"/>
      <c r="L5" s="38">
        <v>36.64</v>
      </c>
      <c r="M5" s="38">
        <v>89.29</v>
      </c>
      <c r="N5" s="38">
        <v>557.67999999999995</v>
      </c>
      <c r="O5" s="38">
        <v>2.85</v>
      </c>
      <c r="P5" s="38">
        <v>224.92</v>
      </c>
      <c r="Q5" s="39"/>
      <c r="R5" s="38">
        <v>850.78</v>
      </c>
      <c r="S5" s="38">
        <v>115.23</v>
      </c>
      <c r="T5" s="38">
        <v>20.12</v>
      </c>
      <c r="U5" s="38">
        <v>850.78</v>
      </c>
    </row>
    <row r="6" spans="1:34" ht="14.4">
      <c r="A6" s="38">
        <v>19</v>
      </c>
      <c r="B6" s="38">
        <v>324.5</v>
      </c>
      <c r="C6" s="38">
        <v>127.09</v>
      </c>
      <c r="D6" s="38">
        <v>122.99</v>
      </c>
      <c r="E6" s="38">
        <v>73.540000000000006</v>
      </c>
      <c r="F6" s="38">
        <v>51.89</v>
      </c>
      <c r="G6" s="38">
        <v>324.42</v>
      </c>
      <c r="H6" s="38">
        <v>4.0999999999999996</v>
      </c>
      <c r="I6" s="38">
        <v>30.63</v>
      </c>
      <c r="J6" s="38">
        <v>775.92</v>
      </c>
      <c r="K6" s="39"/>
      <c r="L6" s="38">
        <v>80.3</v>
      </c>
      <c r="M6" s="38">
        <v>131.46</v>
      </c>
      <c r="N6" s="38">
        <v>560.86</v>
      </c>
      <c r="O6" s="38">
        <v>2.5099999999999998</v>
      </c>
      <c r="P6" s="38">
        <v>314.67</v>
      </c>
      <c r="Q6" s="39"/>
      <c r="R6" s="38">
        <v>944.55</v>
      </c>
      <c r="S6" s="38">
        <v>156.72</v>
      </c>
      <c r="T6" s="38">
        <v>21.23</v>
      </c>
      <c r="U6" s="38">
        <v>944.55</v>
      </c>
    </row>
    <row r="7" spans="1:34" ht="14.4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4"/>
      <c r="N7" s="19"/>
      <c r="O7" s="19"/>
      <c r="P7" s="19"/>
      <c r="Q7" s="19"/>
      <c r="R7" s="5"/>
      <c r="S7" s="19"/>
      <c r="T7" s="19"/>
      <c r="U7" s="19"/>
      <c r="V7" s="19"/>
    </row>
    <row r="8" spans="1:34" ht="15.7" customHeight="1" thickBot="1"/>
    <row r="9" spans="1:34" ht="15.55" thickTop="1" thickBot="1">
      <c r="A9" s="20" t="s">
        <v>0</v>
      </c>
      <c r="B9" s="49">
        <v>15</v>
      </c>
      <c r="C9" s="49">
        <v>16</v>
      </c>
      <c r="D9" s="49">
        <v>17</v>
      </c>
      <c r="E9" s="49">
        <v>18</v>
      </c>
      <c r="F9" s="49">
        <v>19</v>
      </c>
    </row>
    <row r="10" spans="1:34" ht="15.55" thickTop="1" thickBot="1">
      <c r="A10" s="32" t="s">
        <v>1</v>
      </c>
      <c r="B10" s="45">
        <v>224.77</v>
      </c>
      <c r="C10" s="45">
        <v>264.98</v>
      </c>
      <c r="D10" s="45">
        <v>287.70999999999998</v>
      </c>
      <c r="E10" s="45">
        <v>298.22000000000003</v>
      </c>
      <c r="F10" s="45">
        <v>324.5</v>
      </c>
      <c r="M10" s="472"/>
      <c r="N10" s="472"/>
      <c r="O10" s="472"/>
      <c r="P10" s="472"/>
      <c r="Q10" s="484"/>
      <c r="R10" s="484"/>
      <c r="S10" s="484"/>
      <c r="T10" s="484"/>
      <c r="U10" s="472"/>
      <c r="V10" s="472"/>
    </row>
    <row r="11" spans="1:34" ht="15.55" thickTop="1" thickBot="1">
      <c r="A11" s="32" t="s">
        <v>2</v>
      </c>
      <c r="B11" s="45">
        <v>58.57</v>
      </c>
      <c r="C11" s="45">
        <v>69.86</v>
      </c>
      <c r="D11" s="45">
        <v>56.91</v>
      </c>
      <c r="E11" s="45">
        <v>134.69</v>
      </c>
      <c r="F11" s="45">
        <v>127.09</v>
      </c>
      <c r="M11" s="472"/>
      <c r="N11" s="472"/>
      <c r="O11" s="472"/>
      <c r="P11" s="472"/>
      <c r="Q11" s="472"/>
      <c r="R11" s="472"/>
      <c r="S11" s="472"/>
      <c r="T11" s="472"/>
      <c r="U11" s="472"/>
      <c r="V11" s="472"/>
      <c r="Y11" s="472"/>
      <c r="Z11" s="472"/>
      <c r="AA11" s="472"/>
      <c r="AB11" s="472"/>
      <c r="AC11" s="472"/>
      <c r="AD11" s="472"/>
      <c r="AE11" s="472"/>
      <c r="AF11" s="472"/>
      <c r="AG11" s="472"/>
      <c r="AH11" s="472"/>
    </row>
    <row r="12" spans="1:34" ht="15.55" thickTop="1" thickBot="1">
      <c r="A12" s="32" t="s">
        <v>3</v>
      </c>
      <c r="B12" s="45">
        <v>46.38</v>
      </c>
      <c r="C12" s="45">
        <v>66.290000000000006</v>
      </c>
      <c r="D12" s="45">
        <v>55.64</v>
      </c>
      <c r="E12" s="45">
        <v>133.49</v>
      </c>
      <c r="F12" s="45">
        <v>122.99</v>
      </c>
      <c r="M12" s="472"/>
      <c r="N12" s="454" t="s">
        <v>21</v>
      </c>
      <c r="O12" s="455"/>
      <c r="P12" s="455"/>
      <c r="Q12" s="456">
        <v>15</v>
      </c>
      <c r="R12" s="456">
        <v>16</v>
      </c>
      <c r="S12" s="456">
        <v>17</v>
      </c>
      <c r="T12" s="456">
        <v>18</v>
      </c>
      <c r="U12" s="456">
        <v>19</v>
      </c>
      <c r="V12" s="472"/>
      <c r="Y12" s="472"/>
      <c r="Z12" s="472"/>
      <c r="AA12" s="472"/>
      <c r="AB12" s="472"/>
      <c r="AC12" s="472"/>
      <c r="AD12" s="472"/>
      <c r="AE12" s="472"/>
      <c r="AF12" s="472"/>
      <c r="AG12" s="472"/>
      <c r="AH12" s="472"/>
    </row>
    <row r="13" spans="1:34" ht="15.55" thickTop="1" thickBot="1">
      <c r="A13" s="32" t="s">
        <v>4</v>
      </c>
      <c r="B13" s="45">
        <v>1.93</v>
      </c>
      <c r="C13" s="45">
        <v>20.83</v>
      </c>
      <c r="D13" s="45">
        <v>9.2200000000000006</v>
      </c>
      <c r="E13" s="45">
        <v>84.81</v>
      </c>
      <c r="F13" s="45">
        <v>73.540000000000006</v>
      </c>
      <c r="M13" s="472"/>
      <c r="N13" s="509" t="s">
        <v>22</v>
      </c>
      <c r="O13" s="503"/>
      <c r="P13" s="503"/>
      <c r="Q13" s="503"/>
      <c r="R13" s="503"/>
      <c r="S13" s="503"/>
      <c r="T13" s="503"/>
      <c r="U13" s="504"/>
      <c r="V13" s="472"/>
      <c r="Y13" s="472"/>
      <c r="Z13" s="454" t="s">
        <v>21</v>
      </c>
      <c r="AA13" s="455"/>
      <c r="AB13" s="455"/>
      <c r="AC13" s="456">
        <v>15</v>
      </c>
      <c r="AD13" s="456">
        <v>16</v>
      </c>
      <c r="AE13" s="456">
        <v>17</v>
      </c>
      <c r="AF13" s="456">
        <v>18</v>
      </c>
      <c r="AG13" s="456">
        <v>19</v>
      </c>
      <c r="AH13" s="472"/>
    </row>
    <row r="14" spans="1:34" ht="15.55" thickTop="1" thickBot="1">
      <c r="A14" s="32" t="s">
        <v>5</v>
      </c>
      <c r="B14" s="45">
        <v>1.56</v>
      </c>
      <c r="C14" s="45">
        <v>14.31</v>
      </c>
      <c r="D14" s="45">
        <v>50.68</v>
      </c>
      <c r="E14" s="45">
        <v>65.84</v>
      </c>
      <c r="F14" s="45">
        <v>51.89</v>
      </c>
      <c r="M14" s="472"/>
      <c r="N14" s="506" t="s">
        <v>24</v>
      </c>
      <c r="O14" s="503"/>
      <c r="P14" s="504"/>
      <c r="Q14" s="396"/>
      <c r="R14" s="396"/>
      <c r="S14" s="396"/>
      <c r="T14" s="396"/>
      <c r="U14" s="396"/>
      <c r="V14" s="472"/>
      <c r="X14" s="101"/>
      <c r="Y14" s="472"/>
      <c r="Z14" s="485" t="s">
        <v>23</v>
      </c>
      <c r="AA14" s="486"/>
      <c r="AB14" s="486"/>
      <c r="AC14" s="486"/>
      <c r="AD14" s="486"/>
      <c r="AE14" s="486"/>
      <c r="AF14" s="486"/>
      <c r="AG14" s="487"/>
      <c r="AH14" s="472"/>
    </row>
    <row r="15" spans="1:34" ht="17.3" customHeight="1" thickTop="1" thickBot="1">
      <c r="A15" s="32" t="s">
        <v>6</v>
      </c>
      <c r="B15" s="45">
        <v>222.97</v>
      </c>
      <c r="C15" s="45">
        <v>264.24</v>
      </c>
      <c r="D15" s="45">
        <v>287.39999999999998</v>
      </c>
      <c r="E15" s="45">
        <v>298.10000000000002</v>
      </c>
      <c r="F15" s="45">
        <v>324.42</v>
      </c>
      <c r="M15" s="472"/>
      <c r="N15" s="508" t="s">
        <v>25</v>
      </c>
      <c r="O15" s="504"/>
      <c r="P15" s="396"/>
      <c r="Q15" s="399">
        <f>B10</f>
        <v>224.77</v>
      </c>
      <c r="R15" s="399">
        <f>C10</f>
        <v>264.98</v>
      </c>
      <c r="S15" s="399">
        <f>D10</f>
        <v>287.70999999999998</v>
      </c>
      <c r="T15" s="399">
        <f>E10</f>
        <v>298.22000000000003</v>
      </c>
      <c r="U15" s="399">
        <f>F10</f>
        <v>324.5</v>
      </c>
      <c r="V15" s="472"/>
      <c r="X15" s="101"/>
      <c r="Y15" s="472"/>
      <c r="Z15" s="396"/>
      <c r="AA15" s="396"/>
      <c r="AB15" s="396"/>
      <c r="AC15" s="396"/>
      <c r="AD15" s="396"/>
      <c r="AE15" s="396"/>
      <c r="AF15" s="396"/>
      <c r="AG15" s="396"/>
      <c r="AH15" s="472"/>
    </row>
    <row r="16" spans="1:34" ht="17.3" thickTop="1" thickBot="1">
      <c r="A16" s="32" t="s">
        <v>7</v>
      </c>
      <c r="B16" s="45">
        <v>12.19</v>
      </c>
      <c r="C16" s="45">
        <v>3.57</v>
      </c>
      <c r="D16" s="45">
        <v>1.27</v>
      </c>
      <c r="E16" s="45">
        <v>1.2</v>
      </c>
      <c r="F16" s="45">
        <v>4.0999999999999996</v>
      </c>
      <c r="M16" s="472"/>
      <c r="N16" s="396"/>
      <c r="O16" s="506" t="s">
        <v>27</v>
      </c>
      <c r="P16" s="504"/>
      <c r="Q16" s="399">
        <f t="shared" ref="Q16:U16" si="0">Q15-Q17</f>
        <v>1.8000000000000114</v>
      </c>
      <c r="R16" s="399">
        <f t="shared" si="0"/>
        <v>0.74000000000000909</v>
      </c>
      <c r="S16" s="399">
        <f t="shared" si="0"/>
        <v>0.31000000000000227</v>
      </c>
      <c r="T16" s="399">
        <f t="shared" si="0"/>
        <v>0.12000000000000455</v>
      </c>
      <c r="U16" s="399">
        <f t="shared" si="0"/>
        <v>7.9999999999984084E-2</v>
      </c>
      <c r="V16" s="472"/>
      <c r="X16" s="101"/>
      <c r="Y16" s="472"/>
      <c r="Z16" s="457" t="s">
        <v>26</v>
      </c>
      <c r="AA16" s="396"/>
      <c r="AB16" s="396"/>
      <c r="AC16" s="396"/>
      <c r="AD16" s="396"/>
      <c r="AE16" s="396"/>
      <c r="AF16" s="396"/>
      <c r="AG16" s="396"/>
      <c r="AH16" s="472"/>
    </row>
    <row r="17" spans="1:34" ht="17.3" thickTop="1" thickBot="1">
      <c r="A17" s="32" t="s">
        <v>8</v>
      </c>
      <c r="B17" s="45">
        <v>24.44</v>
      </c>
      <c r="C17" s="45">
        <v>30.03</v>
      </c>
      <c r="D17" s="45">
        <v>30.44</v>
      </c>
      <c r="E17" s="45">
        <v>30.58</v>
      </c>
      <c r="F17" s="45">
        <v>30.63</v>
      </c>
      <c r="M17" s="472"/>
      <c r="N17" s="508" t="s">
        <v>29</v>
      </c>
      <c r="O17" s="503"/>
      <c r="P17" s="504"/>
      <c r="Q17" s="399">
        <f>B15</f>
        <v>222.97</v>
      </c>
      <c r="R17" s="399">
        <f>C15</f>
        <v>264.24</v>
      </c>
      <c r="S17" s="399">
        <f>D15</f>
        <v>287.39999999999998</v>
      </c>
      <c r="T17" s="399">
        <f>E15</f>
        <v>298.10000000000002</v>
      </c>
      <c r="U17" s="399">
        <f>F15</f>
        <v>324.42</v>
      </c>
      <c r="V17" s="472"/>
      <c r="X17" s="101"/>
      <c r="Y17" s="472"/>
      <c r="Z17" s="488" t="s">
        <v>28</v>
      </c>
      <c r="AA17" s="486"/>
      <c r="AB17" s="487"/>
      <c r="AC17" s="399">
        <f>B22</f>
        <v>396.56</v>
      </c>
      <c r="AD17" s="399">
        <f>C22</f>
        <v>412.85</v>
      </c>
      <c r="AE17" s="399">
        <f>D22</f>
        <v>441.79</v>
      </c>
      <c r="AF17" s="399">
        <f>E22</f>
        <v>557.67999999999995</v>
      </c>
      <c r="AG17" s="399">
        <f>F22</f>
        <v>560.86</v>
      </c>
      <c r="AH17" s="472"/>
    </row>
    <row r="18" spans="1:34" ht="16.7" thickTop="1" thickBot="1">
      <c r="A18" s="32" t="s">
        <v>9</v>
      </c>
      <c r="B18" s="45">
        <v>239.6</v>
      </c>
      <c r="C18" s="45">
        <v>587.5</v>
      </c>
      <c r="D18" s="45">
        <v>654.67999999999995</v>
      </c>
      <c r="E18" s="45">
        <v>724.36</v>
      </c>
      <c r="F18" s="45">
        <v>775.92</v>
      </c>
      <c r="M18" s="472"/>
      <c r="N18" s="396"/>
      <c r="O18" s="506" t="s">
        <v>31</v>
      </c>
      <c r="P18" s="504"/>
      <c r="Q18" s="399">
        <f t="shared" ref="Q18:U18" si="1">Q15-Q20</f>
        <v>164.4</v>
      </c>
      <c r="R18" s="399">
        <f t="shared" si="1"/>
        <v>194.38</v>
      </c>
      <c r="S18" s="399">
        <f t="shared" si="1"/>
        <v>230.48999999999998</v>
      </c>
      <c r="T18" s="399">
        <f t="shared" si="1"/>
        <v>163.41000000000003</v>
      </c>
      <c r="U18" s="399">
        <f t="shared" si="1"/>
        <v>197.33</v>
      </c>
      <c r="V18" s="472"/>
      <c r="X18" s="101"/>
      <c r="Y18" s="472"/>
      <c r="Z18" s="458" t="s">
        <v>30</v>
      </c>
      <c r="AA18" s="396"/>
      <c r="AB18" s="396"/>
      <c r="AC18" s="400">
        <f>Q15/AC17</f>
        <v>0.56679947548920717</v>
      </c>
      <c r="AD18" s="400">
        <f>R15/AD17</f>
        <v>0.64183117354971542</v>
      </c>
      <c r="AE18" s="400">
        <f>S15/AE17</f>
        <v>0.65123701306050374</v>
      </c>
      <c r="AF18" s="400">
        <f>T15/AF17</f>
        <v>0.53475111174867318</v>
      </c>
      <c r="AG18" s="400">
        <f>U15/AG17</f>
        <v>0.57857575865634914</v>
      </c>
      <c r="AH18" s="472"/>
    </row>
    <row r="19" spans="1:34" ht="17.3" thickTop="1" thickBot="1">
      <c r="A19" s="32" t="s">
        <v>10</v>
      </c>
      <c r="B19" s="45">
        <v>217.5</v>
      </c>
      <c r="C19" s="47"/>
      <c r="D19" s="47"/>
      <c r="E19" s="47"/>
      <c r="F19" s="47"/>
      <c r="M19" s="472"/>
      <c r="N19" s="396"/>
      <c r="O19" s="506" t="s">
        <v>33</v>
      </c>
      <c r="P19" s="504"/>
      <c r="Q19" s="400">
        <f t="shared" ref="Q19:U19" si="2">Q18/Q15</f>
        <v>0.73141433465320105</v>
      </c>
      <c r="R19" s="400">
        <f t="shared" si="2"/>
        <v>0.73356479734319568</v>
      </c>
      <c r="S19" s="400">
        <f t="shared" si="2"/>
        <v>0.80111918251016645</v>
      </c>
      <c r="T19" s="400">
        <f t="shared" si="2"/>
        <v>0.5479511769834351</v>
      </c>
      <c r="U19" s="400">
        <f t="shared" si="2"/>
        <v>0.60810477657935291</v>
      </c>
      <c r="V19" s="472"/>
      <c r="X19" s="101"/>
      <c r="Y19" s="472"/>
      <c r="Z19" s="488" t="s">
        <v>32</v>
      </c>
      <c r="AA19" s="486"/>
      <c r="AB19" s="487"/>
      <c r="AC19" s="399">
        <f>B24</f>
        <v>203.15</v>
      </c>
      <c r="AD19" s="399">
        <f>C24</f>
        <v>249.05</v>
      </c>
      <c r="AE19" s="399">
        <f>D24</f>
        <v>231.93</v>
      </c>
      <c r="AF19" s="399">
        <f>E24</f>
        <v>224.92</v>
      </c>
      <c r="AG19" s="399">
        <f>F24</f>
        <v>314.67</v>
      </c>
      <c r="AH19" s="472"/>
    </row>
    <row r="20" spans="1:34" ht="17.3" thickTop="1" thickBot="1">
      <c r="A20" s="32" t="s">
        <v>11</v>
      </c>
      <c r="B20" s="45">
        <v>54</v>
      </c>
      <c r="C20" s="47"/>
      <c r="D20" s="45">
        <v>5</v>
      </c>
      <c r="E20" s="45">
        <v>36.64</v>
      </c>
      <c r="F20" s="45">
        <v>80.3</v>
      </c>
      <c r="M20" s="472"/>
      <c r="N20" s="506" t="s">
        <v>35</v>
      </c>
      <c r="O20" s="503"/>
      <c r="P20" s="504"/>
      <c r="Q20" s="399">
        <f t="shared" ref="Q20:U20" si="3">Q22+Q16</f>
        <v>60.370000000000012</v>
      </c>
      <c r="R20" s="399">
        <f t="shared" si="3"/>
        <v>70.600000000000009</v>
      </c>
      <c r="S20" s="399">
        <f t="shared" si="3"/>
        <v>57.22</v>
      </c>
      <c r="T20" s="399">
        <f t="shared" si="3"/>
        <v>134.81</v>
      </c>
      <c r="U20" s="399">
        <f t="shared" si="3"/>
        <v>127.16999999999999</v>
      </c>
      <c r="V20" s="472"/>
      <c r="X20" s="101"/>
      <c r="Y20" s="472"/>
      <c r="Z20" s="488" t="s">
        <v>34</v>
      </c>
      <c r="AA20" s="486"/>
      <c r="AB20" s="487"/>
      <c r="AC20" s="399">
        <f>B23</f>
        <v>2.59</v>
      </c>
      <c r="AD20" s="399">
        <f>C23</f>
        <v>1.77</v>
      </c>
      <c r="AE20" s="399">
        <f>D23</f>
        <v>2</v>
      </c>
      <c r="AF20" s="399">
        <f>E23</f>
        <v>2.85</v>
      </c>
      <c r="AG20" s="399">
        <f>F23</f>
        <v>2.5099999999999998</v>
      </c>
      <c r="AH20" s="472"/>
    </row>
    <row r="21" spans="1:34" ht="16.7" thickTop="1" thickBot="1">
      <c r="A21" s="32" t="s">
        <v>12</v>
      </c>
      <c r="B21" s="45">
        <v>129.43</v>
      </c>
      <c r="C21" s="45">
        <v>61.8</v>
      </c>
      <c r="D21" s="45">
        <v>46.97</v>
      </c>
      <c r="E21" s="45">
        <v>89.29</v>
      </c>
      <c r="F21" s="45">
        <v>131.46</v>
      </c>
      <c r="M21" s="472"/>
      <c r="N21" s="396"/>
      <c r="O21" s="506" t="s">
        <v>37</v>
      </c>
      <c r="P21" s="504"/>
      <c r="Q21" s="400">
        <f t="shared" ref="Q21:U21" si="4">Q20/Q15</f>
        <v>0.26858566534679901</v>
      </c>
      <c r="R21" s="400">
        <f t="shared" si="4"/>
        <v>0.26643520265680432</v>
      </c>
      <c r="S21" s="400">
        <f t="shared" si="4"/>
        <v>0.19888081748983352</v>
      </c>
      <c r="T21" s="400">
        <f t="shared" si="4"/>
        <v>0.4520488230165649</v>
      </c>
      <c r="U21" s="400">
        <f t="shared" si="4"/>
        <v>0.39189522342064709</v>
      </c>
      <c r="V21" s="472"/>
      <c r="X21" s="101"/>
      <c r="Y21" s="472"/>
      <c r="Z21" s="458" t="s">
        <v>36</v>
      </c>
      <c r="AA21" s="396"/>
      <c r="AB21" s="396"/>
      <c r="AC21" s="400">
        <f t="shared" ref="AC21:AG21" si="5">AC20/AC27</f>
        <v>4.1960307816929932E-3</v>
      </c>
      <c r="AD21" s="400">
        <f t="shared" si="5"/>
        <v>2.5834136088974517E-3</v>
      </c>
      <c r="AE21" s="400">
        <f t="shared" si="5"/>
        <v>2.7047129623368718E-3</v>
      </c>
      <c r="AF21" s="400">
        <f t="shared" si="5"/>
        <v>3.3498671807047652E-3</v>
      </c>
      <c r="AG21" s="400">
        <f t="shared" si="5"/>
        <v>2.6573500608755491E-3</v>
      </c>
      <c r="AH21" s="472"/>
    </row>
    <row r="22" spans="1:34" ht="17.3" thickTop="1" thickBot="1">
      <c r="A22" s="32" t="s">
        <v>13</v>
      </c>
      <c r="B22" s="45">
        <v>396.56</v>
      </c>
      <c r="C22" s="45">
        <v>412.85</v>
      </c>
      <c r="D22" s="45">
        <v>441.79</v>
      </c>
      <c r="E22" s="45">
        <v>557.67999999999995</v>
      </c>
      <c r="F22" s="45">
        <v>560.86</v>
      </c>
      <c r="M22" s="472"/>
      <c r="N22" s="508" t="s">
        <v>39</v>
      </c>
      <c r="O22" s="504"/>
      <c r="P22" s="396"/>
      <c r="Q22" s="399">
        <f>B11</f>
        <v>58.57</v>
      </c>
      <c r="R22" s="399">
        <f>C11</f>
        <v>69.86</v>
      </c>
      <c r="S22" s="399">
        <f>D11</f>
        <v>56.91</v>
      </c>
      <c r="T22" s="399">
        <f>E11</f>
        <v>134.69</v>
      </c>
      <c r="U22" s="399">
        <f>F11</f>
        <v>127.09</v>
      </c>
      <c r="V22" s="472"/>
      <c r="X22" s="101"/>
      <c r="Y22" s="472"/>
      <c r="Z22" s="488" t="s">
        <v>38</v>
      </c>
      <c r="AA22" s="486"/>
      <c r="AB22" s="487"/>
      <c r="AC22" s="399">
        <f>B27</f>
        <v>122.25</v>
      </c>
      <c r="AD22" s="399">
        <f>C27</f>
        <v>147.1</v>
      </c>
      <c r="AE22" s="399">
        <f>D27</f>
        <v>117.24</v>
      </c>
      <c r="AF22" s="399">
        <f>E27</f>
        <v>115.23</v>
      </c>
      <c r="AG22" s="399">
        <f>F27</f>
        <v>156.72</v>
      </c>
      <c r="AH22" s="472"/>
    </row>
    <row r="23" spans="1:34" ht="16.7" thickTop="1" thickBot="1">
      <c r="A23" s="32" t="s">
        <v>14</v>
      </c>
      <c r="B23" s="45">
        <v>2.59</v>
      </c>
      <c r="C23" s="45">
        <v>1.77</v>
      </c>
      <c r="D23" s="45">
        <v>2</v>
      </c>
      <c r="E23" s="45">
        <v>2.85</v>
      </c>
      <c r="F23" s="45">
        <v>2.5099999999999998</v>
      </c>
      <c r="M23" s="472"/>
      <c r="N23" s="396"/>
      <c r="O23" s="506" t="s">
        <v>41</v>
      </c>
      <c r="P23" s="504"/>
      <c r="Q23" s="400">
        <f t="shared" ref="Q23:U23" si="6">Q22/Q15</f>
        <v>0.26057747920096097</v>
      </c>
      <c r="R23" s="400">
        <f t="shared" si="6"/>
        <v>0.26364253905955165</v>
      </c>
      <c r="S23" s="400">
        <f t="shared" si="6"/>
        <v>0.19780334364464217</v>
      </c>
      <c r="T23" s="400">
        <f t="shared" si="6"/>
        <v>0.45164643551740319</v>
      </c>
      <c r="U23" s="400">
        <f t="shared" si="6"/>
        <v>0.39164869029275812</v>
      </c>
      <c r="V23" s="472"/>
      <c r="X23" s="101"/>
      <c r="Y23" s="472"/>
      <c r="Z23" s="458" t="s">
        <v>40</v>
      </c>
      <c r="AA23" s="396"/>
      <c r="AB23" s="396"/>
      <c r="AC23" s="400">
        <f>Q15/AC22</f>
        <v>1.8386094069529653</v>
      </c>
      <c r="AD23" s="400">
        <f>R15/AD22</f>
        <v>1.8013596193065944</v>
      </c>
      <c r="AE23" s="400">
        <f>S15/AE22</f>
        <v>2.4540259297168201</v>
      </c>
      <c r="AF23" s="400">
        <f>T15/AF22</f>
        <v>2.5880413086869742</v>
      </c>
      <c r="AG23" s="400">
        <f>U15/AG22</f>
        <v>2.0705717202654417</v>
      </c>
      <c r="AH23" s="472"/>
    </row>
    <row r="24" spans="1:34" ht="17.3" thickTop="1" thickBot="1">
      <c r="A24" s="32" t="s">
        <v>15</v>
      </c>
      <c r="B24" s="45">
        <v>203.15</v>
      </c>
      <c r="C24" s="45">
        <v>249.05</v>
      </c>
      <c r="D24" s="45">
        <v>231.93</v>
      </c>
      <c r="E24" s="45">
        <v>224.92</v>
      </c>
      <c r="F24" s="45">
        <v>314.67</v>
      </c>
      <c r="M24" s="472"/>
      <c r="N24" s="396"/>
      <c r="O24" s="506" t="s">
        <v>42</v>
      </c>
      <c r="P24" s="504"/>
      <c r="Q24" s="399">
        <f t="shared" ref="Q24:U24" si="7">Q22-Q25-Q29</f>
        <v>0</v>
      </c>
      <c r="R24" s="399">
        <f>R22-R25-R29</f>
        <v>-6.6613381477509392E-15</v>
      </c>
      <c r="S24" s="399">
        <f t="shared" si="7"/>
        <v>-3.9968028886505635E-15</v>
      </c>
      <c r="T24" s="399">
        <f t="shared" si="7"/>
        <v>-1.1324274851176597E-14</v>
      </c>
      <c r="U24" s="399">
        <f t="shared" si="7"/>
        <v>8.8817841970012523E-15</v>
      </c>
      <c r="V24" s="472"/>
      <c r="X24" s="101"/>
      <c r="Y24" s="472"/>
      <c r="Z24" s="488" t="s">
        <v>16</v>
      </c>
      <c r="AA24" s="487"/>
      <c r="AB24" s="396"/>
      <c r="AC24" s="399"/>
      <c r="AD24" s="399"/>
      <c r="AE24" s="399"/>
      <c r="AF24" s="399"/>
      <c r="AG24" s="399"/>
      <c r="AH24" s="472"/>
    </row>
    <row r="25" spans="1:34" ht="16.7" thickTop="1" thickBot="1">
      <c r="A25" s="32" t="s">
        <v>16</v>
      </c>
      <c r="B25" s="45">
        <v>0.01</v>
      </c>
      <c r="C25" s="45">
        <v>0.22</v>
      </c>
      <c r="D25" s="45">
        <v>0.02</v>
      </c>
      <c r="E25" s="47"/>
      <c r="F25" s="47"/>
      <c r="M25" s="472"/>
      <c r="N25" s="508" t="s">
        <v>44</v>
      </c>
      <c r="O25" s="504"/>
      <c r="P25" s="396"/>
      <c r="Q25" s="399">
        <f>B12</f>
        <v>46.38</v>
      </c>
      <c r="R25" s="399">
        <f>C12</f>
        <v>66.290000000000006</v>
      </c>
      <c r="S25" s="399">
        <f>D12</f>
        <v>55.64</v>
      </c>
      <c r="T25" s="399">
        <f>E12</f>
        <v>133.49</v>
      </c>
      <c r="U25" s="399">
        <f>F12</f>
        <v>122.99</v>
      </c>
      <c r="V25" s="472"/>
      <c r="X25" s="101"/>
      <c r="Y25" s="472"/>
      <c r="Z25" s="458" t="s">
        <v>43</v>
      </c>
      <c r="AA25" s="396"/>
      <c r="AB25" s="396"/>
      <c r="AC25" s="400"/>
      <c r="AD25" s="400"/>
      <c r="AE25" s="400"/>
      <c r="AF25" s="400"/>
      <c r="AG25" s="400"/>
      <c r="AH25" s="472"/>
    </row>
    <row r="26" spans="1:34" ht="15.55" thickTop="1" thickBot="1">
      <c r="A26" s="32" t="s">
        <v>17</v>
      </c>
      <c r="B26" s="45">
        <v>617.25</v>
      </c>
      <c r="C26" s="45">
        <v>685.14</v>
      </c>
      <c r="D26" s="45">
        <v>739.45</v>
      </c>
      <c r="E26" s="45">
        <v>850.78</v>
      </c>
      <c r="F26" s="45">
        <v>944.55</v>
      </c>
      <c r="M26" s="472"/>
      <c r="N26" s="396"/>
      <c r="O26" s="506" t="s">
        <v>45</v>
      </c>
      <c r="P26" s="504"/>
      <c r="Q26" s="399">
        <f t="shared" ref="Q26:U26" si="8">Q22-Q24-Q27</f>
        <v>44.45</v>
      </c>
      <c r="R26" s="399">
        <f t="shared" si="8"/>
        <v>45.46</v>
      </c>
      <c r="S26" s="399">
        <f t="shared" si="8"/>
        <v>46.42</v>
      </c>
      <c r="T26" s="399">
        <f t="shared" si="8"/>
        <v>48.679999999999993</v>
      </c>
      <c r="U26" s="399">
        <f t="shared" si="8"/>
        <v>49.449999999999989</v>
      </c>
      <c r="V26" s="472"/>
      <c r="X26" s="101"/>
      <c r="Y26" s="472"/>
      <c r="Z26" s="396"/>
      <c r="AA26" s="396"/>
      <c r="AB26" s="396"/>
      <c r="AC26" s="396"/>
      <c r="AD26" s="396"/>
      <c r="AE26" s="396"/>
      <c r="AF26" s="396"/>
      <c r="AG26" s="396"/>
      <c r="AH26" s="472"/>
    </row>
    <row r="27" spans="1:34" ht="17.3" thickTop="1" thickBot="1">
      <c r="A27" s="32" t="s">
        <v>18</v>
      </c>
      <c r="B27" s="45">
        <v>122.25</v>
      </c>
      <c r="C27" s="45">
        <v>147.1</v>
      </c>
      <c r="D27" s="45">
        <v>117.24</v>
      </c>
      <c r="E27" s="45">
        <v>115.23</v>
      </c>
      <c r="F27" s="45">
        <v>156.72</v>
      </c>
      <c r="M27" s="472"/>
      <c r="N27" s="506" t="s">
        <v>47</v>
      </c>
      <c r="O27" s="504"/>
      <c r="P27" s="396"/>
      <c r="Q27" s="399">
        <f t="shared" ref="Q27:U27" si="9">Q29+Q30</f>
        <v>14.12</v>
      </c>
      <c r="R27" s="399">
        <f t="shared" si="9"/>
        <v>24.4</v>
      </c>
      <c r="S27" s="399">
        <f t="shared" si="9"/>
        <v>10.49</v>
      </c>
      <c r="T27" s="399">
        <f t="shared" si="9"/>
        <v>86.01</v>
      </c>
      <c r="U27" s="399">
        <f t="shared" si="9"/>
        <v>77.64</v>
      </c>
      <c r="V27" s="472"/>
      <c r="X27" s="101"/>
      <c r="Y27" s="472"/>
      <c r="Z27" s="488" t="s">
        <v>46</v>
      </c>
      <c r="AA27" s="487"/>
      <c r="AB27" s="396"/>
      <c r="AC27" s="399">
        <f>B26</f>
        <v>617.25</v>
      </c>
      <c r="AD27" s="399">
        <f>C26</f>
        <v>685.14</v>
      </c>
      <c r="AE27" s="399">
        <f>D26</f>
        <v>739.45</v>
      </c>
      <c r="AF27" s="399">
        <f>E26</f>
        <v>850.78</v>
      </c>
      <c r="AG27" s="399">
        <f>F26</f>
        <v>944.55</v>
      </c>
      <c r="AH27" s="472"/>
    </row>
    <row r="28" spans="1:34" ht="15.55" thickTop="1" thickBot="1">
      <c r="A28" s="32" t="s">
        <v>19</v>
      </c>
      <c r="B28" s="45">
        <v>19.64</v>
      </c>
      <c r="C28" s="45">
        <v>23.94</v>
      </c>
      <c r="D28" s="45">
        <v>20.079999999999998</v>
      </c>
      <c r="E28" s="45">
        <v>20.12</v>
      </c>
      <c r="F28" s="45">
        <v>21.23</v>
      </c>
      <c r="M28" s="472"/>
      <c r="N28" s="396"/>
      <c r="O28" s="506" t="s">
        <v>48</v>
      </c>
      <c r="P28" s="504"/>
      <c r="Q28" s="400">
        <f t="shared" ref="Q28:U28" si="10">Q27/Q15</f>
        <v>6.2819771321795601E-2</v>
      </c>
      <c r="R28" s="400">
        <f t="shared" si="10"/>
        <v>9.2082421314816199E-2</v>
      </c>
      <c r="S28" s="400">
        <f t="shared" si="10"/>
        <v>3.6460324632442392E-2</v>
      </c>
      <c r="T28" s="400">
        <f t="shared" si="10"/>
        <v>0.28841124002414326</v>
      </c>
      <c r="U28" s="400">
        <f t="shared" si="10"/>
        <v>0.23926040061633283</v>
      </c>
      <c r="V28" s="472"/>
      <c r="X28" s="101"/>
      <c r="Y28" s="472"/>
      <c r="Z28" s="396"/>
      <c r="AA28" s="396"/>
      <c r="AB28" s="396"/>
      <c r="AC28" s="396"/>
      <c r="AD28" s="396"/>
      <c r="AE28" s="396"/>
      <c r="AF28" s="396"/>
      <c r="AG28" s="396"/>
      <c r="AH28" s="472"/>
    </row>
    <row r="29" spans="1:34" ht="17.3" thickTop="1" thickBot="1">
      <c r="A29" s="407" t="s">
        <v>20</v>
      </c>
      <c r="B29" s="408">
        <v>617.25</v>
      </c>
      <c r="C29" s="408">
        <v>685.14</v>
      </c>
      <c r="D29" s="408">
        <v>739.45</v>
      </c>
      <c r="E29" s="408">
        <v>850.78</v>
      </c>
      <c r="F29" s="408">
        <v>944.55</v>
      </c>
      <c r="M29" s="472"/>
      <c r="N29" s="508" t="s">
        <v>50</v>
      </c>
      <c r="O29" s="504"/>
      <c r="P29" s="396"/>
      <c r="Q29" s="399">
        <f>B16</f>
        <v>12.19</v>
      </c>
      <c r="R29" s="399">
        <f>C16</f>
        <v>3.57</v>
      </c>
      <c r="S29" s="399">
        <f>D16</f>
        <v>1.27</v>
      </c>
      <c r="T29" s="399">
        <f>E16</f>
        <v>1.2</v>
      </c>
      <c r="U29" s="399">
        <f>F16</f>
        <v>4.0999999999999996</v>
      </c>
      <c r="V29" s="472"/>
      <c r="X29" s="101"/>
      <c r="Y29" s="472"/>
      <c r="Z29" s="489" t="s">
        <v>49</v>
      </c>
      <c r="AA29" s="486"/>
      <c r="AB29" s="487"/>
      <c r="AC29" s="396"/>
      <c r="AD29" s="396"/>
      <c r="AE29" s="396"/>
      <c r="AF29" s="396"/>
      <c r="AG29" s="396"/>
      <c r="AH29" s="472"/>
    </row>
    <row r="30" spans="1:34" ht="17.3" thickTop="1" thickBot="1">
      <c r="A30" s="93" t="s">
        <v>45</v>
      </c>
      <c r="B30" s="86">
        <v>44.45</v>
      </c>
      <c r="C30" s="86">
        <v>45.46</v>
      </c>
      <c r="D30" s="86">
        <v>46.42</v>
      </c>
      <c r="E30" s="86">
        <v>48.679999999999993</v>
      </c>
      <c r="F30" s="86">
        <v>49.449999999999989</v>
      </c>
      <c r="G30" s="86"/>
      <c r="H30" s="86"/>
      <c r="I30" s="86"/>
      <c r="J30" s="86"/>
      <c r="M30" s="472"/>
      <c r="N30" s="482" t="s">
        <v>52</v>
      </c>
      <c r="O30" s="396"/>
      <c r="P30" s="396"/>
      <c r="Q30" s="399">
        <f>B13</f>
        <v>1.93</v>
      </c>
      <c r="R30" s="399">
        <f>C13</f>
        <v>20.83</v>
      </c>
      <c r="S30" s="399">
        <f>D13</f>
        <v>9.2200000000000006</v>
      </c>
      <c r="T30" s="399">
        <f>E13</f>
        <v>84.81</v>
      </c>
      <c r="U30" s="399">
        <f>F13</f>
        <v>73.540000000000006</v>
      </c>
      <c r="V30" s="472"/>
      <c r="X30" s="101"/>
      <c r="Y30" s="472"/>
      <c r="Z30" s="488" t="s">
        <v>51</v>
      </c>
      <c r="AA30" s="486"/>
      <c r="AB30" s="487"/>
      <c r="AC30" s="399">
        <f>B21</f>
        <v>129.43</v>
      </c>
      <c r="AD30" s="399">
        <f>C21</f>
        <v>61.8</v>
      </c>
      <c r="AE30" s="399">
        <f>D21</f>
        <v>46.97</v>
      </c>
      <c r="AF30" s="399">
        <f>E21</f>
        <v>89.29</v>
      </c>
      <c r="AG30" s="399">
        <f>F21</f>
        <v>131.46</v>
      </c>
      <c r="AH30" s="490">
        <f>M24</f>
        <v>0</v>
      </c>
    </row>
    <row r="31" spans="1:34" ht="16.7" thickTop="1" thickBot="1">
      <c r="A31" s="86"/>
      <c r="B31" s="86"/>
      <c r="C31" s="86"/>
      <c r="D31" s="86"/>
      <c r="E31" s="86"/>
      <c r="F31" s="86"/>
      <c r="G31" s="86"/>
      <c r="H31" s="86"/>
      <c r="I31" s="86"/>
      <c r="J31" s="86"/>
      <c r="M31" s="472"/>
      <c r="N31" s="396"/>
      <c r="O31" s="506" t="s">
        <v>54</v>
      </c>
      <c r="P31" s="504"/>
      <c r="Q31" s="400">
        <f t="shared" ref="Q31:U31" si="11">Q30/Q15</f>
        <v>8.5865551452595987E-3</v>
      </c>
      <c r="R31" s="400">
        <f t="shared" si="11"/>
        <v>7.8609706392935311E-2</v>
      </c>
      <c r="S31" s="400">
        <f t="shared" si="11"/>
        <v>3.204615758923917E-2</v>
      </c>
      <c r="T31" s="400">
        <f t="shared" si="11"/>
        <v>0.28438736503252632</v>
      </c>
      <c r="U31" s="400">
        <f t="shared" si="11"/>
        <v>0.2266255778120185</v>
      </c>
      <c r="V31" s="472"/>
      <c r="X31" s="101"/>
      <c r="Y31" s="472"/>
      <c r="Z31" s="458" t="s">
        <v>53</v>
      </c>
      <c r="AA31" s="396"/>
      <c r="AB31" s="396"/>
      <c r="AC31" s="400">
        <f>Q18/AC30</f>
        <v>1.270184655798501</v>
      </c>
      <c r="AD31" s="400">
        <f>R18/AD30</f>
        <v>3.145307443365696</v>
      </c>
      <c r="AE31" s="400">
        <f>S18/AE30</f>
        <v>4.9071747924206939</v>
      </c>
      <c r="AF31" s="400">
        <f>T18/AF30</f>
        <v>1.8301041550005601</v>
      </c>
      <c r="AG31" s="400">
        <f>U18/AG30</f>
        <v>1.5010649627263046</v>
      </c>
      <c r="AH31" s="472"/>
    </row>
    <row r="32" spans="1:34" ht="17.3" thickTop="1" thickBot="1">
      <c r="A32" s="409" t="s">
        <v>88</v>
      </c>
      <c r="B32" s="86"/>
      <c r="C32" s="410">
        <f>(C10-B10)/B10</f>
        <v>0.17889398051341374</v>
      </c>
      <c r="D32" s="410">
        <f>(D10-C10)/C10</f>
        <v>8.5780058872367573E-2</v>
      </c>
      <c r="E32" s="410">
        <f>(E10-D10)/D10</f>
        <v>3.6529839074067809E-2</v>
      </c>
      <c r="F32" s="410">
        <f>(F10-E10)/E10</f>
        <v>8.8122862316410602E-2</v>
      </c>
      <c r="G32" s="86"/>
      <c r="H32" s="93" t="s">
        <v>89</v>
      </c>
      <c r="I32" s="86"/>
      <c r="J32" s="395">
        <f>AVERAGE(C32:F32)</f>
        <v>9.7331685194064932E-2</v>
      </c>
      <c r="M32" s="472"/>
      <c r="N32" s="396"/>
      <c r="O32" s="483" t="s">
        <v>55</v>
      </c>
      <c r="P32" s="396"/>
      <c r="Q32" s="399">
        <f t="shared" ref="Q32:U32" si="12">Q30-Q34</f>
        <v>0.36999999999999988</v>
      </c>
      <c r="R32" s="399">
        <f t="shared" si="12"/>
        <v>6.5199999999999978</v>
      </c>
      <c r="S32" s="399">
        <f t="shared" si="12"/>
        <v>-41.46</v>
      </c>
      <c r="T32" s="399">
        <f t="shared" si="12"/>
        <v>18.97</v>
      </c>
      <c r="U32" s="399">
        <f t="shared" si="12"/>
        <v>21.650000000000006</v>
      </c>
      <c r="V32" s="472"/>
      <c r="X32" s="101"/>
      <c r="Y32" s="472"/>
      <c r="Z32" s="488" t="s">
        <v>19</v>
      </c>
      <c r="AA32" s="487"/>
      <c r="AB32" s="396"/>
      <c r="AC32" s="399">
        <f>B28</f>
        <v>19.64</v>
      </c>
      <c r="AD32" s="399">
        <f>C28</f>
        <v>23.94</v>
      </c>
      <c r="AE32" s="399">
        <f>D28</f>
        <v>20.079999999999998</v>
      </c>
      <c r="AF32" s="399">
        <f>E28</f>
        <v>20.12</v>
      </c>
      <c r="AG32" s="399">
        <f>F28</f>
        <v>21.23</v>
      </c>
      <c r="AH32" s="472"/>
    </row>
    <row r="33" spans="1:34" ht="17.3" thickTop="1" thickBot="1">
      <c r="A33" s="409" t="s">
        <v>90</v>
      </c>
      <c r="B33" s="410">
        <f>B11/B10</f>
        <v>0.26057747920096097</v>
      </c>
      <c r="C33" s="410">
        <f t="shared" ref="C33:E33" si="13">C11/C10</f>
        <v>0.26364253905955165</v>
      </c>
      <c r="D33" s="410">
        <f t="shared" si="13"/>
        <v>0.19780334364464217</v>
      </c>
      <c r="E33" s="410">
        <f t="shared" si="13"/>
        <v>0.45164643551740319</v>
      </c>
      <c r="F33" s="410">
        <f>F11/F10</f>
        <v>0.39164869029275812</v>
      </c>
      <c r="G33" s="86"/>
      <c r="H33" s="411" t="s">
        <v>90</v>
      </c>
      <c r="I33" s="411"/>
      <c r="J33" s="412">
        <f>AVERAGE(B33:F33)</f>
        <v>0.31306369754306318</v>
      </c>
      <c r="M33" s="472"/>
      <c r="N33" s="396"/>
      <c r="O33" s="506" t="s">
        <v>57</v>
      </c>
      <c r="P33" s="504"/>
      <c r="Q33" s="400">
        <f t="shared" ref="Q33:U33" si="14">Q32/Q30</f>
        <v>0.19170984455958545</v>
      </c>
      <c r="R33" s="400">
        <f t="shared" si="14"/>
        <v>0.31301008161305799</v>
      </c>
      <c r="S33" s="400">
        <f t="shared" si="14"/>
        <v>-4.4967462039045554</v>
      </c>
      <c r="T33" s="400">
        <f t="shared" si="14"/>
        <v>0.22367645324843766</v>
      </c>
      <c r="U33" s="400">
        <f t="shared" si="14"/>
        <v>0.29439760674462884</v>
      </c>
      <c r="V33" s="472"/>
      <c r="X33" s="101"/>
      <c r="Y33" s="472"/>
      <c r="Z33" s="488" t="s">
        <v>56</v>
      </c>
      <c r="AA33" s="486"/>
      <c r="AB33" s="487"/>
      <c r="AC33" s="399">
        <f>B19</f>
        <v>217.5</v>
      </c>
      <c r="AD33" s="399">
        <f>C19</f>
        <v>0</v>
      </c>
      <c r="AE33" s="399">
        <f>D19</f>
        <v>0</v>
      </c>
      <c r="AF33" s="399">
        <f>E19</f>
        <v>0</v>
      </c>
      <c r="AG33" s="399">
        <f>F19</f>
        <v>0</v>
      </c>
      <c r="AH33" s="472"/>
    </row>
    <row r="34" spans="1:34" ht="16.7" thickTop="1" thickBot="1">
      <c r="A34" s="409" t="s">
        <v>91</v>
      </c>
      <c r="B34" s="86"/>
      <c r="C34" s="410">
        <f>C30/C22</f>
        <v>0.1101126317064309</v>
      </c>
      <c r="D34" s="410">
        <f t="shared" ref="D34:F34" si="15">D30/D22</f>
        <v>0.10507254577966907</v>
      </c>
      <c r="E34" s="410">
        <f t="shared" si="15"/>
        <v>8.7290202266532779E-2</v>
      </c>
      <c r="F34" s="410">
        <f t="shared" si="15"/>
        <v>8.8168170309881236E-2</v>
      </c>
      <c r="G34" s="86"/>
      <c r="H34" s="409" t="s">
        <v>91</v>
      </c>
      <c r="I34" s="411"/>
      <c r="J34" s="412">
        <f>AVERAGE(C34:F34)</f>
        <v>9.7660887515628486E-2</v>
      </c>
      <c r="M34" s="472"/>
      <c r="N34" s="482" t="s">
        <v>59</v>
      </c>
      <c r="O34" s="396"/>
      <c r="P34" s="396"/>
      <c r="Q34" s="399">
        <f>B14</f>
        <v>1.56</v>
      </c>
      <c r="R34" s="399">
        <f>C14</f>
        <v>14.31</v>
      </c>
      <c r="S34" s="399">
        <f>D14</f>
        <v>50.68</v>
      </c>
      <c r="T34" s="399">
        <f>E14</f>
        <v>65.84</v>
      </c>
      <c r="U34" s="399">
        <f>F14</f>
        <v>51.89</v>
      </c>
      <c r="V34" s="472"/>
      <c r="X34" s="101"/>
      <c r="Y34" s="472"/>
      <c r="Z34" s="458" t="s">
        <v>58</v>
      </c>
      <c r="AA34" s="396"/>
      <c r="AB34" s="396"/>
      <c r="AC34" s="400">
        <f t="shared" ref="AC34:AG34" si="16">AC33/AC40</f>
        <v>0.35236938031591736</v>
      </c>
      <c r="AD34" s="400">
        <f t="shared" si="16"/>
        <v>0</v>
      </c>
      <c r="AE34" s="400">
        <f t="shared" si="16"/>
        <v>0</v>
      </c>
      <c r="AF34" s="400">
        <f t="shared" si="16"/>
        <v>0</v>
      </c>
      <c r="AG34" s="400">
        <f t="shared" si="16"/>
        <v>0</v>
      </c>
      <c r="AH34" s="472"/>
    </row>
    <row r="35" spans="1:34" ht="17.3" thickTop="1" thickBot="1">
      <c r="A35" s="409" t="s">
        <v>93</v>
      </c>
      <c r="B35" s="86"/>
      <c r="C35" s="86">
        <f>C22-B22+C30</f>
        <v>61.750000000000021</v>
      </c>
      <c r="D35" s="86">
        <f>D22-C22+D30</f>
        <v>75.36</v>
      </c>
      <c r="E35" s="86">
        <f>E22-D22+E30</f>
        <v>164.56999999999994</v>
      </c>
      <c r="F35" s="86">
        <f t="shared" ref="F35" si="17">F22-E22+F30</f>
        <v>52.630000000000052</v>
      </c>
      <c r="G35" s="86"/>
      <c r="H35" s="411"/>
      <c r="I35" s="411"/>
      <c r="J35" s="411"/>
      <c r="M35" s="472"/>
      <c r="N35" s="396"/>
      <c r="O35" s="506" t="s">
        <v>61</v>
      </c>
      <c r="P35" s="504"/>
      <c r="Q35" s="400">
        <f t="shared" ref="Q35:U35" si="18">Q34/Q15</f>
        <v>6.940427993059572E-3</v>
      </c>
      <c r="R35" s="400">
        <f t="shared" si="18"/>
        <v>5.4004075779304099E-2</v>
      </c>
      <c r="S35" s="400">
        <f t="shared" si="18"/>
        <v>0.17614959507837755</v>
      </c>
      <c r="T35" s="400">
        <f t="shared" si="18"/>
        <v>0.22077660787338205</v>
      </c>
      <c r="U35" s="400">
        <f t="shared" si="18"/>
        <v>0.1599075500770416</v>
      </c>
      <c r="V35" s="472"/>
      <c r="X35" s="101"/>
      <c r="Y35" s="472"/>
      <c r="Z35" s="488" t="s">
        <v>60</v>
      </c>
      <c r="AA35" s="486"/>
      <c r="AB35" s="487"/>
      <c r="AC35" s="399">
        <f>B20</f>
        <v>54</v>
      </c>
      <c r="AD35" s="399">
        <f>C20</f>
        <v>0</v>
      </c>
      <c r="AE35" s="399">
        <f>D20</f>
        <v>5</v>
      </c>
      <c r="AF35" s="399">
        <f>E20</f>
        <v>36.64</v>
      </c>
      <c r="AG35" s="399">
        <f>F20</f>
        <v>80.3</v>
      </c>
      <c r="AH35" s="472"/>
    </row>
    <row r="36" spans="1:34" ht="17.3" thickTop="1" thickBot="1">
      <c r="A36" s="409" t="s">
        <v>92</v>
      </c>
      <c r="B36" s="86"/>
      <c r="C36" s="410">
        <f>C35/C10</f>
        <v>0.23303645558155339</v>
      </c>
      <c r="D36" s="410">
        <f t="shared" ref="D36:F36" si="19">D35/D10</f>
        <v>0.26193041604393313</v>
      </c>
      <c r="E36" s="410">
        <f>E35/E10</f>
        <v>0.55184092280866448</v>
      </c>
      <c r="F36" s="410">
        <f t="shared" si="19"/>
        <v>0.16218798151001557</v>
      </c>
      <c r="G36" s="86"/>
      <c r="H36" s="409" t="s">
        <v>92</v>
      </c>
      <c r="I36" s="411"/>
      <c r="J36" s="412">
        <f>AVERAGE(C36:F36)</f>
        <v>0.30224894398604163</v>
      </c>
      <c r="M36" s="472"/>
      <c r="N36" s="472"/>
      <c r="O36" s="472"/>
      <c r="P36" s="472"/>
      <c r="Q36" s="472"/>
      <c r="R36" s="472"/>
      <c r="S36" s="472"/>
      <c r="T36" s="472"/>
      <c r="U36" s="472"/>
      <c r="V36" s="472"/>
      <c r="X36" s="101"/>
      <c r="Y36" s="472"/>
      <c r="Z36" s="488" t="s">
        <v>62</v>
      </c>
      <c r="AA36" s="486"/>
      <c r="AB36" s="487"/>
      <c r="AC36" s="399">
        <f>B18</f>
        <v>239.6</v>
      </c>
      <c r="AD36" s="399">
        <f>C18</f>
        <v>587.5</v>
      </c>
      <c r="AE36" s="399">
        <f>D18</f>
        <v>654.67999999999995</v>
      </c>
      <c r="AF36" s="399">
        <f>E18</f>
        <v>724.36</v>
      </c>
      <c r="AG36" s="399">
        <f>F18</f>
        <v>775.92</v>
      </c>
      <c r="AH36" s="472"/>
    </row>
    <row r="37" spans="1:34" ht="16.7" thickTop="1" thickBot="1">
      <c r="A37" s="409" t="s">
        <v>94</v>
      </c>
      <c r="B37" s="86">
        <v>73.72</v>
      </c>
      <c r="C37" s="86">
        <v>187.25</v>
      </c>
      <c r="D37" s="86">
        <v>184.96</v>
      </c>
      <c r="E37" s="86">
        <v>135.63</v>
      </c>
      <c r="F37" s="86">
        <v>183.21</v>
      </c>
      <c r="G37" s="86"/>
      <c r="H37" s="411"/>
      <c r="I37" s="411"/>
      <c r="J37" s="411"/>
      <c r="M37" s="472"/>
      <c r="N37" s="472"/>
      <c r="O37" s="472"/>
      <c r="P37" s="472"/>
      <c r="Q37" s="472"/>
      <c r="R37" s="472"/>
      <c r="S37" s="472"/>
      <c r="T37" s="472"/>
      <c r="U37" s="472"/>
      <c r="V37" s="472"/>
      <c r="X37" s="101"/>
      <c r="Y37" s="472"/>
      <c r="Z37" s="458" t="s">
        <v>63</v>
      </c>
      <c r="AA37" s="396"/>
      <c r="AB37" s="396"/>
      <c r="AC37" s="400">
        <f t="shared" ref="AC37:AG37" si="20">AC36/AC40</f>
        <v>0.38817334953422439</v>
      </c>
      <c r="AD37" s="400">
        <f t="shared" si="20"/>
        <v>0.85748898035438015</v>
      </c>
      <c r="AE37" s="400">
        <f t="shared" si="20"/>
        <v>0.88536074109135154</v>
      </c>
      <c r="AF37" s="400">
        <f t="shared" si="20"/>
        <v>0.85140694421589602</v>
      </c>
      <c r="AG37" s="400">
        <f t="shared" si="20"/>
        <v>0.8214705415277116</v>
      </c>
      <c r="AH37" s="472"/>
    </row>
    <row r="38" spans="1:34" ht="17.3" thickTop="1" thickBot="1">
      <c r="A38" s="409" t="s">
        <v>95</v>
      </c>
      <c r="B38" s="410">
        <f>B37/B10</f>
        <v>0.32797971259509717</v>
      </c>
      <c r="C38" s="410">
        <f t="shared" ref="C38:F38" si="21">C37/C10</f>
        <v>0.70665710619669408</v>
      </c>
      <c r="D38" s="410">
        <f t="shared" si="21"/>
        <v>0.64286955615029029</v>
      </c>
      <c r="E38" s="410">
        <f t="shared" si="21"/>
        <v>0.45479847092750314</v>
      </c>
      <c r="F38" s="410">
        <f t="shared" si="21"/>
        <v>0.56459167950693379</v>
      </c>
      <c r="G38" s="86"/>
      <c r="H38" s="409" t="s">
        <v>95</v>
      </c>
      <c r="I38" s="411"/>
      <c r="J38" s="412">
        <f>AVERAGE(B38:F38)</f>
        <v>0.53937930507530374</v>
      </c>
      <c r="O38" s="22"/>
      <c r="X38" s="101"/>
      <c r="Y38" s="472"/>
      <c r="Z38" s="488" t="s">
        <v>8</v>
      </c>
      <c r="AA38" s="487"/>
      <c r="AB38" s="396"/>
      <c r="AC38" s="399">
        <f>B17</f>
        <v>24.44</v>
      </c>
      <c r="AD38" s="399">
        <f>C17</f>
        <v>30.03</v>
      </c>
      <c r="AE38" s="399">
        <f>D17</f>
        <v>30.44</v>
      </c>
      <c r="AF38" s="399">
        <f>E17</f>
        <v>30.58</v>
      </c>
      <c r="AG38" s="399">
        <f>F17</f>
        <v>30.63</v>
      </c>
      <c r="AH38" s="472"/>
    </row>
    <row r="39" spans="1:34" ht="16.7" thickTop="1" thickBot="1">
      <c r="A39" s="409" t="s">
        <v>77</v>
      </c>
      <c r="B39" s="410">
        <v>0.19170984455958545</v>
      </c>
      <c r="C39" s="410">
        <v>0.31301008161305799</v>
      </c>
      <c r="D39" s="410">
        <v>-4.4967462039045554</v>
      </c>
      <c r="E39" s="410">
        <v>0.22367645324843766</v>
      </c>
      <c r="F39" s="410">
        <v>0.29439760674462884</v>
      </c>
      <c r="G39" s="86"/>
      <c r="H39" s="409" t="s">
        <v>77</v>
      </c>
      <c r="I39" s="411"/>
      <c r="J39" s="412">
        <f>AVERAGE(E39:F39)</f>
        <v>0.25903702999653322</v>
      </c>
      <c r="X39" s="101"/>
      <c r="Y39" s="472"/>
      <c r="Z39" s="458" t="s">
        <v>64</v>
      </c>
      <c r="AA39" s="396"/>
      <c r="AB39" s="396"/>
      <c r="AC39" s="400">
        <f t="shared" ref="AC39:AG39" si="22">AC38/AC40</f>
        <v>3.9594977723774807E-2</v>
      </c>
      <c r="AD39" s="400">
        <f t="shared" si="22"/>
        <v>4.3830458008582193E-2</v>
      </c>
      <c r="AE39" s="400">
        <f t="shared" si="22"/>
        <v>4.116573128676719E-2</v>
      </c>
      <c r="AF39" s="400">
        <f t="shared" si="22"/>
        <v>3.5943487152965511E-2</v>
      </c>
      <c r="AG39" s="400">
        <f t="shared" si="22"/>
        <v>3.2428140384309988E-2</v>
      </c>
      <c r="AH39" s="472"/>
    </row>
    <row r="40" spans="1:34" ht="17.3" thickTop="1" thickBot="1">
      <c r="A40" s="86"/>
      <c r="B40" s="86"/>
      <c r="C40" s="86"/>
      <c r="D40" s="86"/>
      <c r="E40" s="86"/>
      <c r="F40" s="86"/>
      <c r="G40" s="86"/>
      <c r="H40" s="411"/>
      <c r="I40" s="411"/>
      <c r="J40" s="411"/>
      <c r="X40" s="101"/>
      <c r="Y40" s="472"/>
      <c r="Z40" s="488" t="s">
        <v>65</v>
      </c>
      <c r="AA40" s="486"/>
      <c r="AB40" s="487"/>
      <c r="AC40" s="399">
        <f>B29</f>
        <v>617.25</v>
      </c>
      <c r="AD40" s="399">
        <f>C29</f>
        <v>685.14</v>
      </c>
      <c r="AE40" s="399">
        <f>D29</f>
        <v>739.45</v>
      </c>
      <c r="AF40" s="399">
        <f>E29</f>
        <v>850.78</v>
      </c>
      <c r="AG40" s="399">
        <f>F29</f>
        <v>944.55</v>
      </c>
      <c r="AH40" s="472"/>
    </row>
    <row r="41" spans="1:34" ht="13.25" thickTop="1">
      <c r="A41" s="86"/>
      <c r="B41" s="86"/>
      <c r="C41" s="86"/>
      <c r="D41" s="86"/>
      <c r="E41" s="86"/>
      <c r="F41" s="86"/>
      <c r="G41" s="86"/>
      <c r="H41" s="411"/>
      <c r="I41" s="411"/>
      <c r="J41" s="411"/>
      <c r="X41" s="101"/>
      <c r="Y41" s="472"/>
      <c r="Z41" s="459"/>
      <c r="AA41" s="459"/>
      <c r="AB41" s="459"/>
      <c r="AC41" s="459"/>
      <c r="AD41" s="459"/>
      <c r="AE41" s="459"/>
      <c r="AF41" s="459"/>
      <c r="AG41" s="459"/>
      <c r="AH41" s="472"/>
    </row>
    <row r="42" spans="1:34" ht="15.7" customHeight="1">
      <c r="A42" s="409" t="s">
        <v>96</v>
      </c>
      <c r="B42" s="395">
        <v>2.5000000000000001E-3</v>
      </c>
      <c r="C42" s="395">
        <v>2.0799999999999999E-2</v>
      </c>
      <c r="D42" s="413">
        <v>6.8500000000000005E-2</v>
      </c>
      <c r="E42" s="395">
        <v>7.7299999999999994E-2</v>
      </c>
      <c r="F42" s="395">
        <v>5.4899999999999997E-2</v>
      </c>
      <c r="G42" s="86"/>
      <c r="H42" s="93" t="s">
        <v>96</v>
      </c>
      <c r="I42" s="86"/>
      <c r="J42" s="395">
        <f>AVERAGE(B42:F42)</f>
        <v>4.48E-2</v>
      </c>
      <c r="X42" s="101"/>
      <c r="Y42" s="472"/>
      <c r="Z42" s="459"/>
      <c r="AA42" s="459"/>
      <c r="AB42" s="459"/>
      <c r="AC42" s="459"/>
      <c r="AD42" s="459"/>
      <c r="AE42" s="459"/>
      <c r="AF42" s="459"/>
      <c r="AG42" s="459"/>
      <c r="AH42" s="472"/>
    </row>
    <row r="43" spans="1:34" ht="15.7" customHeight="1">
      <c r="A43" s="409" t="s">
        <v>97</v>
      </c>
      <c r="B43" s="395">
        <v>1</v>
      </c>
      <c r="C43" s="395">
        <v>1</v>
      </c>
      <c r="D43" s="395">
        <v>1</v>
      </c>
      <c r="E43" s="395">
        <v>1</v>
      </c>
      <c r="F43" s="395">
        <v>1</v>
      </c>
      <c r="G43" s="86"/>
      <c r="H43" s="411" t="s">
        <v>97</v>
      </c>
      <c r="I43" s="86"/>
      <c r="J43" s="395">
        <f>AVERAGE(C43:F43)</f>
        <v>1</v>
      </c>
      <c r="X43" s="101"/>
      <c r="Y43" s="472"/>
      <c r="Z43" s="460" t="s">
        <v>66</v>
      </c>
      <c r="AA43" s="461"/>
      <c r="AB43" s="461"/>
      <c r="AC43" s="462">
        <f t="shared" ref="AC43:AG43" si="23">AC19-AC30</f>
        <v>73.72</v>
      </c>
      <c r="AD43" s="462">
        <f t="shared" si="23"/>
        <v>187.25</v>
      </c>
      <c r="AE43" s="462">
        <f t="shared" si="23"/>
        <v>184.96</v>
      </c>
      <c r="AF43" s="462">
        <f t="shared" si="23"/>
        <v>135.63</v>
      </c>
      <c r="AG43" s="462">
        <f t="shared" si="23"/>
        <v>183.21</v>
      </c>
      <c r="AH43" s="472"/>
    </row>
    <row r="44" spans="1:34" ht="15.7" customHeight="1">
      <c r="A44" s="86"/>
      <c r="B44" s="86"/>
      <c r="C44" s="86"/>
      <c r="D44" s="86"/>
      <c r="E44" s="86"/>
      <c r="F44" s="86"/>
      <c r="G44" s="86"/>
      <c r="H44" s="86"/>
      <c r="I44" s="86"/>
      <c r="J44" s="86"/>
      <c r="X44" s="101"/>
      <c r="Y44" s="472"/>
      <c r="Z44" s="461"/>
      <c r="AA44" s="461"/>
      <c r="AB44" s="461"/>
      <c r="AC44" s="461"/>
      <c r="AD44" s="462">
        <f t="shared" ref="AD44:AG44" si="24">AD43-AC43</f>
        <v>113.53</v>
      </c>
      <c r="AE44" s="462">
        <f t="shared" si="24"/>
        <v>-2.289999999999992</v>
      </c>
      <c r="AF44" s="462">
        <f t="shared" si="24"/>
        <v>-49.330000000000013</v>
      </c>
      <c r="AG44" s="462">
        <f t="shared" si="24"/>
        <v>47.580000000000013</v>
      </c>
      <c r="AH44" s="472"/>
    </row>
    <row r="45" spans="1:34" ht="15.7" customHeight="1">
      <c r="X45" s="101"/>
      <c r="Y45" s="472"/>
      <c r="Z45" s="460" t="s">
        <v>67</v>
      </c>
      <c r="AA45" s="461"/>
      <c r="AB45" s="461"/>
      <c r="AC45" s="461"/>
      <c r="AD45" s="462">
        <f t="shared" ref="AD45:AG45" si="25">AD17-AC17</f>
        <v>16.29000000000002</v>
      </c>
      <c r="AE45" s="462">
        <f t="shared" si="25"/>
        <v>28.939999999999998</v>
      </c>
      <c r="AF45" s="462">
        <f t="shared" si="25"/>
        <v>115.88999999999993</v>
      </c>
      <c r="AG45" s="462">
        <f t="shared" si="25"/>
        <v>3.1800000000000637</v>
      </c>
      <c r="AH45" s="472"/>
    </row>
    <row r="46" spans="1:34" ht="15.7" customHeight="1"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</row>
    <row r="47" spans="1:34" ht="12.7"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</row>
    <row r="48" spans="1:34" ht="12.7"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</row>
    <row r="49" spans="24:41" ht="12.7"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</row>
    <row r="50" spans="24:41" ht="12.7"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I50" s="101"/>
      <c r="AJ50" s="101"/>
      <c r="AK50" s="101"/>
      <c r="AL50" s="101"/>
      <c r="AM50" s="101"/>
      <c r="AN50" s="101"/>
      <c r="AO50" s="101"/>
    </row>
    <row r="51" spans="24:41" ht="12.7"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I51" s="101"/>
      <c r="AJ51" s="101"/>
      <c r="AK51" s="101"/>
      <c r="AL51" s="101"/>
      <c r="AM51" s="101"/>
      <c r="AN51" s="101"/>
      <c r="AO51" s="101"/>
    </row>
    <row r="52" spans="24:41" ht="12.7"/>
    <row r="53" spans="24:41" ht="12.7"/>
    <row r="54" spans="24:41" ht="12.7"/>
    <row r="55" spans="24:41" ht="12.7"/>
    <row r="56" spans="24:41" ht="12.7"/>
    <row r="57" spans="24:41" ht="12.7"/>
    <row r="58" spans="24:41" ht="12.7"/>
    <row r="59" spans="24:41" ht="12.7"/>
    <row r="60" spans="24:41" ht="12.7"/>
    <row r="61" spans="24:41" ht="12.7"/>
    <row r="62" spans="24:41" ht="12.7"/>
    <row r="63" spans="24:41" ht="12.7"/>
    <row r="64" spans="24:41" ht="12.7"/>
    <row r="157" spans="1:19" ht="15.7" customHeight="1">
      <c r="A157" s="472"/>
      <c r="B157" s="472"/>
      <c r="C157" s="472"/>
      <c r="D157" s="472"/>
      <c r="E157" s="472"/>
      <c r="F157" s="472"/>
      <c r="G157" s="472"/>
      <c r="H157" s="472"/>
      <c r="I157" s="472"/>
      <c r="J157" s="472"/>
      <c r="K157" s="472"/>
      <c r="L157" s="472"/>
      <c r="M157" s="472"/>
      <c r="N157" s="472"/>
      <c r="O157" s="472"/>
      <c r="P157" s="472"/>
      <c r="Q157" s="472"/>
      <c r="R157" s="472"/>
      <c r="S157" s="472"/>
    </row>
    <row r="158" spans="1:19" ht="15.7" customHeight="1">
      <c r="A158" s="472"/>
      <c r="B158" s="472"/>
      <c r="C158" s="472"/>
      <c r="D158" s="472"/>
      <c r="E158" s="472"/>
      <c r="F158" s="472"/>
      <c r="G158" s="472"/>
      <c r="H158" s="472"/>
      <c r="I158" s="472"/>
      <c r="J158" s="472"/>
      <c r="K158" s="472"/>
      <c r="L158" s="472"/>
      <c r="M158" s="472"/>
      <c r="N158" s="472"/>
      <c r="O158" s="472"/>
      <c r="P158" s="472"/>
      <c r="Q158" s="472"/>
      <c r="R158" s="472"/>
      <c r="S158" s="472"/>
    </row>
    <row r="159" spans="1:19" ht="15.7" customHeight="1" thickBot="1">
      <c r="A159" s="472"/>
      <c r="B159" s="472"/>
      <c r="C159" s="472"/>
      <c r="D159" s="472"/>
      <c r="E159" s="472"/>
      <c r="F159" s="472"/>
      <c r="G159" s="472"/>
      <c r="H159" s="472"/>
      <c r="I159" s="472"/>
      <c r="J159" s="472"/>
      <c r="K159" s="472"/>
      <c r="L159" s="472"/>
      <c r="M159" s="472"/>
      <c r="N159" s="472"/>
      <c r="O159" s="472"/>
      <c r="P159" s="472"/>
      <c r="Q159" s="472"/>
      <c r="R159" s="472"/>
      <c r="S159" s="472"/>
    </row>
    <row r="160" spans="1:19" ht="15.7" customHeight="1" thickTop="1" thickBot="1">
      <c r="A160" s="396"/>
      <c r="B160" s="397">
        <v>15</v>
      </c>
      <c r="C160" s="397">
        <v>16</v>
      </c>
      <c r="D160" s="397">
        <v>17</v>
      </c>
      <c r="E160" s="397">
        <v>18</v>
      </c>
      <c r="F160" s="397">
        <v>19</v>
      </c>
      <c r="G160" s="472"/>
      <c r="H160" s="472"/>
      <c r="I160" s="472"/>
      <c r="J160" s="472"/>
      <c r="K160" s="472"/>
      <c r="L160" s="472"/>
      <c r="M160" s="472"/>
      <c r="N160" s="472"/>
      <c r="O160" s="472"/>
      <c r="P160" s="472"/>
      <c r="Q160" s="472"/>
      <c r="R160" s="472"/>
      <c r="S160" s="472"/>
    </row>
    <row r="161" spans="1:19" ht="15.7" customHeight="1" thickTop="1" thickBot="1">
      <c r="A161" s="396"/>
      <c r="B161" s="507" t="s">
        <v>68</v>
      </c>
      <c r="C161" s="503"/>
      <c r="D161" s="503"/>
      <c r="E161" s="503"/>
      <c r="F161" s="504"/>
      <c r="G161" s="472"/>
      <c r="H161" s="472"/>
      <c r="I161" s="472"/>
      <c r="J161" s="472"/>
      <c r="K161" s="472"/>
      <c r="L161" s="472"/>
      <c r="M161" s="472"/>
      <c r="N161" s="472"/>
      <c r="O161" s="472"/>
      <c r="P161" s="472"/>
      <c r="Q161" s="472"/>
      <c r="R161" s="472"/>
      <c r="S161" s="472"/>
    </row>
    <row r="162" spans="1:19" ht="15.7" customHeight="1" thickTop="1" thickBot="1">
      <c r="A162" s="482" t="s">
        <v>70</v>
      </c>
      <c r="B162" s="399">
        <f>B10</f>
        <v>224.77</v>
      </c>
      <c r="C162" s="399">
        <f>C10</f>
        <v>264.98</v>
      </c>
      <c r="D162" s="399">
        <f>D10</f>
        <v>287.70999999999998</v>
      </c>
      <c r="E162" s="399">
        <f>E10</f>
        <v>298.22000000000003</v>
      </c>
      <c r="F162" s="399">
        <f>F10</f>
        <v>324.5</v>
      </c>
      <c r="G162" s="472"/>
      <c r="H162" s="472"/>
      <c r="I162" s="472"/>
      <c r="J162" s="472"/>
      <c r="K162" s="472"/>
      <c r="L162" s="472"/>
      <c r="M162" s="472"/>
      <c r="N162" s="396"/>
      <c r="O162" s="397">
        <v>15</v>
      </c>
      <c r="P162" s="397">
        <v>16</v>
      </c>
      <c r="Q162" s="397">
        <v>17</v>
      </c>
      <c r="R162" s="397">
        <v>18</v>
      </c>
      <c r="S162" s="397">
        <v>19</v>
      </c>
    </row>
    <row r="163" spans="1:19" ht="15.7" customHeight="1" thickTop="1" thickBot="1">
      <c r="A163" s="483" t="s">
        <v>72</v>
      </c>
      <c r="B163" s="399">
        <f>Q18</f>
        <v>164.4</v>
      </c>
      <c r="C163" s="399">
        <f>R18</f>
        <v>194.38</v>
      </c>
      <c r="D163" s="399">
        <f>S18</f>
        <v>230.48999999999998</v>
      </c>
      <c r="E163" s="399">
        <f>T18</f>
        <v>163.41000000000003</v>
      </c>
      <c r="F163" s="399">
        <f>U18</f>
        <v>197.33</v>
      </c>
      <c r="G163" s="472"/>
      <c r="H163" s="472"/>
      <c r="I163" s="472"/>
      <c r="J163" s="472"/>
      <c r="K163" s="472"/>
      <c r="L163" s="472"/>
      <c r="M163" s="472"/>
      <c r="N163" s="396"/>
      <c r="O163" s="507" t="s">
        <v>69</v>
      </c>
      <c r="P163" s="503"/>
      <c r="Q163" s="503"/>
      <c r="R163" s="503"/>
      <c r="S163" s="504"/>
    </row>
    <row r="164" spans="1:19" ht="15.7" customHeight="1" thickTop="1" thickBot="1">
      <c r="A164" s="483" t="s">
        <v>74</v>
      </c>
      <c r="B164" s="399">
        <f>Q16</f>
        <v>1.8000000000000114</v>
      </c>
      <c r="C164" s="399">
        <f>R16</f>
        <v>0.74000000000000909</v>
      </c>
      <c r="D164" s="399">
        <f>S16</f>
        <v>0.31000000000000227</v>
      </c>
      <c r="E164" s="399">
        <f>T16</f>
        <v>0.12000000000000455</v>
      </c>
      <c r="F164" s="399">
        <f>U16</f>
        <v>7.9999999999984084E-2</v>
      </c>
      <c r="G164" s="472"/>
      <c r="H164" s="472"/>
      <c r="I164" s="472"/>
      <c r="J164" s="472"/>
      <c r="K164" s="472"/>
      <c r="L164" s="472"/>
      <c r="M164" s="472"/>
      <c r="N164" s="398" t="s">
        <v>71</v>
      </c>
      <c r="O164" s="396"/>
      <c r="P164" s="396"/>
      <c r="Q164" s="396"/>
      <c r="R164" s="396"/>
      <c r="S164" s="396"/>
    </row>
    <row r="165" spans="1:19" ht="15.7" customHeight="1" thickTop="1" thickBot="1">
      <c r="A165" s="483" t="s">
        <v>45</v>
      </c>
      <c r="B165" s="399">
        <f>Q26</f>
        <v>44.45</v>
      </c>
      <c r="C165" s="399">
        <f>R26</f>
        <v>45.46</v>
      </c>
      <c r="D165" s="399">
        <f>S26</f>
        <v>46.42</v>
      </c>
      <c r="E165" s="399">
        <f>T26</f>
        <v>48.679999999999993</v>
      </c>
      <c r="F165" s="399">
        <f>U26</f>
        <v>49.449999999999989</v>
      </c>
      <c r="G165" s="472"/>
      <c r="H165" s="472"/>
      <c r="I165" s="472"/>
      <c r="J165" s="472"/>
      <c r="K165" s="472"/>
      <c r="L165" s="472"/>
      <c r="M165" s="472"/>
      <c r="N165" s="398" t="s">
        <v>73</v>
      </c>
      <c r="O165" s="399">
        <f>B10</f>
        <v>224.77</v>
      </c>
      <c r="P165" s="399">
        <f>C10</f>
        <v>264.98</v>
      </c>
      <c r="Q165" s="399">
        <f>D10</f>
        <v>287.70999999999998</v>
      </c>
      <c r="R165" s="399">
        <f>E10</f>
        <v>298.22000000000003</v>
      </c>
      <c r="S165" s="399">
        <f>F10</f>
        <v>324.5</v>
      </c>
    </row>
    <row r="166" spans="1:19" ht="15.7" customHeight="1" thickTop="1" thickBot="1">
      <c r="A166" s="396"/>
      <c r="B166" s="396"/>
      <c r="C166" s="396"/>
      <c r="D166" s="396"/>
      <c r="E166" s="396"/>
      <c r="F166" s="396"/>
      <c r="G166" s="472"/>
      <c r="H166" s="472"/>
      <c r="I166" s="472"/>
      <c r="J166" s="472"/>
      <c r="K166" s="472"/>
      <c r="L166" s="472"/>
      <c r="M166" s="472"/>
      <c r="N166" s="398" t="s">
        <v>47</v>
      </c>
      <c r="O166" s="399">
        <f>Q27</f>
        <v>14.12</v>
      </c>
      <c r="P166" s="399">
        <f>R27</f>
        <v>24.4</v>
      </c>
      <c r="Q166" s="399">
        <f>S27</f>
        <v>10.49</v>
      </c>
      <c r="R166" s="399">
        <f>T27</f>
        <v>86.01</v>
      </c>
      <c r="S166" s="399">
        <f>U27</f>
        <v>77.64</v>
      </c>
    </row>
    <row r="167" spans="1:19" ht="15.7" customHeight="1" thickTop="1" thickBot="1">
      <c r="A167" s="483" t="s">
        <v>47</v>
      </c>
      <c r="B167" s="399">
        <f>Q27</f>
        <v>14.12</v>
      </c>
      <c r="C167" s="399">
        <f>R27</f>
        <v>24.4</v>
      </c>
      <c r="D167" s="399">
        <f>S27</f>
        <v>10.49</v>
      </c>
      <c r="E167" s="399">
        <f>T27</f>
        <v>86.01</v>
      </c>
      <c r="F167" s="399">
        <f>U27</f>
        <v>77.64</v>
      </c>
      <c r="G167" s="472"/>
      <c r="H167" s="472"/>
      <c r="I167" s="472"/>
      <c r="J167" s="472"/>
      <c r="K167" s="472"/>
      <c r="L167" s="472"/>
      <c r="M167" s="472"/>
      <c r="N167" s="398" t="s">
        <v>75</v>
      </c>
      <c r="O167" s="399">
        <f>Q34</f>
        <v>1.56</v>
      </c>
      <c r="P167" s="399">
        <f>R34</f>
        <v>14.31</v>
      </c>
      <c r="Q167" s="399">
        <f>S34</f>
        <v>50.68</v>
      </c>
      <c r="R167" s="399">
        <f>T34</f>
        <v>65.84</v>
      </c>
      <c r="S167" s="399">
        <f>U34</f>
        <v>51.89</v>
      </c>
    </row>
    <row r="168" spans="1:19" ht="15.7" customHeight="1" thickTop="1" thickBot="1">
      <c r="A168" s="483" t="s">
        <v>77</v>
      </c>
      <c r="B168" s="400">
        <f>Q33</f>
        <v>0.19170984455958545</v>
      </c>
      <c r="C168" s="400">
        <f>R33</f>
        <v>0.31301008161305799</v>
      </c>
      <c r="D168" s="400">
        <f>S33</f>
        <v>-4.4967462039045554</v>
      </c>
      <c r="E168" s="400">
        <f>T33</f>
        <v>0.22367645324843766</v>
      </c>
      <c r="F168" s="400">
        <f>U33</f>
        <v>0.29439760674462884</v>
      </c>
      <c r="G168" s="472"/>
      <c r="H168" s="472"/>
      <c r="I168" s="472"/>
      <c r="J168" s="472"/>
      <c r="K168" s="472"/>
      <c r="L168" s="472"/>
      <c r="M168" s="472"/>
      <c r="N168" s="398" t="s">
        <v>17</v>
      </c>
      <c r="O168" s="399">
        <f>B26</f>
        <v>617.25</v>
      </c>
      <c r="P168" s="399">
        <f>C26</f>
        <v>685.14</v>
      </c>
      <c r="Q168" s="399">
        <f>D26</f>
        <v>739.45</v>
      </c>
      <c r="R168" s="399">
        <f>E26</f>
        <v>850.78</v>
      </c>
      <c r="S168" s="399">
        <f>F26</f>
        <v>944.55</v>
      </c>
    </row>
    <row r="169" spans="1:19" ht="15.7" customHeight="1" thickTop="1" thickBot="1">
      <c r="A169" s="483" t="s">
        <v>78</v>
      </c>
      <c r="B169" s="491">
        <f t="shared" ref="B169:F169" si="26">B167*(1-B168)</f>
        <v>11.413056994818652</v>
      </c>
      <c r="C169" s="491">
        <f t="shared" si="26"/>
        <v>16.762554008641384</v>
      </c>
      <c r="D169" s="491">
        <f t="shared" si="26"/>
        <v>57.660867678958788</v>
      </c>
      <c r="E169" s="491">
        <f t="shared" si="26"/>
        <v>66.771588256101879</v>
      </c>
      <c r="F169" s="491">
        <f t="shared" si="26"/>
        <v>54.782969812347019</v>
      </c>
      <c r="G169" s="472"/>
      <c r="H169" s="472"/>
      <c r="I169" s="472"/>
      <c r="J169" s="472"/>
      <c r="K169" s="472"/>
      <c r="L169" s="472"/>
      <c r="M169" s="472"/>
      <c r="N169" s="398" t="s">
        <v>76</v>
      </c>
      <c r="O169" s="399">
        <f>B17</f>
        <v>24.44</v>
      </c>
      <c r="P169" s="399">
        <f>C17</f>
        <v>30.03</v>
      </c>
      <c r="Q169" s="399">
        <f>D17</f>
        <v>30.44</v>
      </c>
      <c r="R169" s="399">
        <f>E17</f>
        <v>30.58</v>
      </c>
      <c r="S169" s="399">
        <f>F17</f>
        <v>30.63</v>
      </c>
    </row>
    <row r="170" spans="1:19" ht="15.7" customHeight="1" thickTop="1" thickBot="1">
      <c r="A170" s="483" t="s">
        <v>45</v>
      </c>
      <c r="B170" s="491">
        <f>Q26</f>
        <v>44.45</v>
      </c>
      <c r="C170" s="491">
        <f>R26</f>
        <v>45.46</v>
      </c>
      <c r="D170" s="491">
        <f>S26</f>
        <v>46.42</v>
      </c>
      <c r="E170" s="491">
        <f>T26</f>
        <v>48.679999999999993</v>
      </c>
      <c r="F170" s="491">
        <f>U26</f>
        <v>49.449999999999989</v>
      </c>
      <c r="G170" s="472"/>
      <c r="H170" s="472"/>
      <c r="I170" s="472"/>
      <c r="J170" s="472"/>
      <c r="K170" s="472"/>
      <c r="L170" s="472"/>
      <c r="M170" s="472"/>
      <c r="N170" s="396"/>
      <c r="O170" s="396"/>
      <c r="P170" s="396"/>
      <c r="Q170" s="396"/>
      <c r="R170" s="396"/>
      <c r="S170" s="396"/>
    </row>
    <row r="171" spans="1:19" ht="15.7" customHeight="1" thickTop="1" thickBot="1">
      <c r="A171" s="483" t="s">
        <v>80</v>
      </c>
      <c r="B171" s="491">
        <f t="shared" ref="B171:F171" si="27">B169+B170</f>
        <v>55.863056994818656</v>
      </c>
      <c r="C171" s="491">
        <f t="shared" si="27"/>
        <v>62.222554008641382</v>
      </c>
      <c r="D171" s="491">
        <f t="shared" si="27"/>
        <v>104.08086767895878</v>
      </c>
      <c r="E171" s="491">
        <f t="shared" si="27"/>
        <v>115.45158825610187</v>
      </c>
      <c r="F171" s="491">
        <f t="shared" si="27"/>
        <v>104.23296981234701</v>
      </c>
      <c r="G171" s="472"/>
      <c r="H171" s="472"/>
      <c r="I171" s="472"/>
      <c r="J171" s="472"/>
      <c r="K171" s="472"/>
      <c r="L171" s="472"/>
      <c r="M171" s="472"/>
      <c r="N171" s="396"/>
      <c r="O171" s="396"/>
      <c r="P171" s="396"/>
      <c r="Q171" s="396"/>
      <c r="R171" s="396"/>
      <c r="S171" s="396"/>
    </row>
    <row r="172" spans="1:19" ht="15.7" customHeight="1" thickTop="1" thickBot="1">
      <c r="A172" s="396"/>
      <c r="B172" s="396"/>
      <c r="C172" s="396"/>
      <c r="D172" s="396"/>
      <c r="E172" s="396"/>
      <c r="F172" s="396"/>
      <c r="G172" s="472"/>
      <c r="H172" s="472"/>
      <c r="I172" s="472"/>
      <c r="J172" s="472"/>
      <c r="K172" s="472"/>
      <c r="L172" s="472"/>
      <c r="M172" s="472"/>
      <c r="N172" s="398" t="s">
        <v>79</v>
      </c>
      <c r="O172" s="400">
        <f t="shared" ref="O172:S172" si="28">O167/O169</f>
        <v>6.3829787234042548E-2</v>
      </c>
      <c r="P172" s="400">
        <f t="shared" si="28"/>
        <v>0.47652347652347654</v>
      </c>
      <c r="Q172" s="400">
        <f t="shared" si="28"/>
        <v>1.6649145860709591</v>
      </c>
      <c r="R172" s="400">
        <f t="shared" si="28"/>
        <v>2.1530412034009156</v>
      </c>
      <c r="S172" s="400">
        <f t="shared" si="28"/>
        <v>1.694090760692132</v>
      </c>
    </row>
    <row r="173" spans="1:19" ht="15.7" customHeight="1" thickTop="1" thickBot="1">
      <c r="A173" s="396"/>
      <c r="B173" s="396"/>
      <c r="C173" s="396"/>
      <c r="D173" s="396"/>
      <c r="E173" s="396"/>
      <c r="F173" s="396"/>
      <c r="G173" s="472"/>
      <c r="H173" s="472"/>
      <c r="I173" s="472"/>
      <c r="J173" s="472"/>
      <c r="K173" s="472"/>
      <c r="L173" s="472"/>
      <c r="M173" s="472"/>
      <c r="N173" s="398" t="s">
        <v>81</v>
      </c>
      <c r="O173" s="400">
        <f t="shared" ref="O173:S173" si="29">O167/O165</f>
        <v>6.940427993059572E-3</v>
      </c>
      <c r="P173" s="400">
        <f t="shared" si="29"/>
        <v>5.4004075779304099E-2</v>
      </c>
      <c r="Q173" s="400">
        <f t="shared" si="29"/>
        <v>0.17614959507837755</v>
      </c>
      <c r="R173" s="400">
        <f t="shared" si="29"/>
        <v>0.22077660787338205</v>
      </c>
      <c r="S173" s="400">
        <f t="shared" si="29"/>
        <v>0.1599075500770416</v>
      </c>
    </row>
    <row r="174" spans="1:19" ht="15.7" customHeight="1" thickTop="1" thickBot="1">
      <c r="A174" s="483" t="s">
        <v>84</v>
      </c>
      <c r="B174" s="396">
        <f t="shared" ref="B174:F175" si="30">AC44</f>
        <v>0</v>
      </c>
      <c r="C174" s="396">
        <f t="shared" si="30"/>
        <v>113.53</v>
      </c>
      <c r="D174" s="396">
        <f t="shared" si="30"/>
        <v>-2.289999999999992</v>
      </c>
      <c r="E174" s="396">
        <f t="shared" si="30"/>
        <v>-49.330000000000013</v>
      </c>
      <c r="F174" s="396">
        <f t="shared" si="30"/>
        <v>47.580000000000013</v>
      </c>
      <c r="G174" s="472"/>
      <c r="H174" s="472"/>
      <c r="I174" s="472"/>
      <c r="J174" s="472"/>
      <c r="K174" s="472"/>
      <c r="L174" s="472"/>
      <c r="M174" s="472"/>
      <c r="N174" s="398" t="s">
        <v>82</v>
      </c>
      <c r="O174" s="400">
        <f t="shared" ref="O174:S174" si="31">O165/O168</f>
        <v>0.364147428108546</v>
      </c>
      <c r="P174" s="400">
        <f t="shared" si="31"/>
        <v>0.38675307236477219</v>
      </c>
      <c r="Q174" s="400">
        <f t="shared" si="31"/>
        <v>0.38908648319697064</v>
      </c>
      <c r="R174" s="400">
        <f t="shared" si="31"/>
        <v>0.35052540022097373</v>
      </c>
      <c r="S174" s="400">
        <f t="shared" si="31"/>
        <v>0.34354983854745647</v>
      </c>
    </row>
    <row r="175" spans="1:19" ht="15.7" customHeight="1" thickTop="1" thickBot="1">
      <c r="A175" s="483" t="s">
        <v>85</v>
      </c>
      <c r="B175" s="396">
        <f t="shared" si="30"/>
        <v>0</v>
      </c>
      <c r="C175" s="396">
        <f t="shared" si="30"/>
        <v>16.29000000000002</v>
      </c>
      <c r="D175" s="396">
        <f t="shared" si="30"/>
        <v>28.939999999999998</v>
      </c>
      <c r="E175" s="396">
        <f t="shared" si="30"/>
        <v>115.88999999999993</v>
      </c>
      <c r="F175" s="396">
        <f t="shared" si="30"/>
        <v>3.1800000000000637</v>
      </c>
      <c r="G175" s="472"/>
      <c r="H175" s="472"/>
      <c r="I175" s="472"/>
      <c r="J175" s="472"/>
      <c r="K175" s="472"/>
      <c r="L175" s="472"/>
      <c r="M175" s="472"/>
      <c r="N175" s="398" t="s">
        <v>83</v>
      </c>
      <c r="O175" s="400">
        <f t="shared" ref="O175:S175" si="32">O168/O169</f>
        <v>25.255728314238951</v>
      </c>
      <c r="P175" s="400">
        <f t="shared" si="32"/>
        <v>22.815184815184814</v>
      </c>
      <c r="Q175" s="400">
        <f t="shared" si="32"/>
        <v>24.29204993429698</v>
      </c>
      <c r="R175" s="400">
        <f t="shared" si="32"/>
        <v>27.821451929365598</v>
      </c>
      <c r="S175" s="400">
        <f t="shared" si="32"/>
        <v>30.837414299706168</v>
      </c>
    </row>
    <row r="176" spans="1:19" ht="15.7" customHeight="1" thickTop="1" thickBot="1">
      <c r="A176" s="396"/>
      <c r="B176" s="396"/>
      <c r="C176" s="396"/>
      <c r="D176" s="396"/>
      <c r="E176" s="396"/>
      <c r="F176" s="396"/>
      <c r="G176" s="472"/>
      <c r="H176" s="472"/>
      <c r="I176" s="472"/>
      <c r="J176" s="472"/>
      <c r="K176" s="472"/>
      <c r="L176" s="472"/>
      <c r="M176" s="472"/>
      <c r="N176" s="398" t="s">
        <v>79</v>
      </c>
      <c r="O176" s="400">
        <f t="shared" ref="O176:S176" si="33">O173*O174*O175</f>
        <v>6.3829787234042562E-2</v>
      </c>
      <c r="P176" s="400">
        <f t="shared" si="33"/>
        <v>0.47652347652347654</v>
      </c>
      <c r="Q176" s="400">
        <f t="shared" si="33"/>
        <v>1.6649145860709591</v>
      </c>
      <c r="R176" s="400">
        <f t="shared" si="33"/>
        <v>2.1530412034009152</v>
      </c>
      <c r="S176" s="400">
        <f t="shared" si="33"/>
        <v>1.6940907606921318</v>
      </c>
    </row>
    <row r="177" spans="1:19" ht="15.7" customHeight="1" thickTop="1" thickBot="1">
      <c r="A177" s="492" t="s">
        <v>68</v>
      </c>
      <c r="B177" s="455"/>
      <c r="C177" s="493">
        <f t="shared" ref="C177:F177" si="34">C171-SUM(C174:C175)</f>
        <v>-67.59744599135864</v>
      </c>
      <c r="D177" s="493">
        <f t="shared" si="34"/>
        <v>77.430867678958776</v>
      </c>
      <c r="E177" s="493">
        <f t="shared" si="34"/>
        <v>48.891588256101954</v>
      </c>
      <c r="F177" s="493">
        <f t="shared" si="34"/>
        <v>53.472969812346932</v>
      </c>
      <c r="G177" s="472"/>
      <c r="H177" s="472"/>
      <c r="I177" s="472"/>
      <c r="J177" s="472"/>
      <c r="K177" s="472"/>
      <c r="L177" s="472"/>
      <c r="M177" s="472"/>
      <c r="N177" s="472"/>
      <c r="O177" s="472"/>
      <c r="P177" s="472"/>
      <c r="Q177" s="472"/>
      <c r="R177" s="472"/>
      <c r="S177" s="472"/>
    </row>
    <row r="178" spans="1:19" ht="15.7" customHeight="1" thickTop="1">
      <c r="A178" s="472"/>
      <c r="B178" s="472"/>
      <c r="C178" s="472"/>
      <c r="D178" s="472"/>
      <c r="E178" s="472"/>
      <c r="F178" s="472"/>
      <c r="G178" s="472"/>
      <c r="H178" s="472"/>
      <c r="I178" s="472"/>
      <c r="J178" s="472"/>
      <c r="K178" s="472"/>
      <c r="L178" s="472"/>
      <c r="M178" s="472"/>
      <c r="N178" s="472"/>
      <c r="O178" s="472"/>
      <c r="P178" s="472"/>
      <c r="Q178" s="472"/>
      <c r="R178" s="472"/>
      <c r="S178" s="472"/>
    </row>
    <row r="179" spans="1:19" ht="15.7" customHeight="1">
      <c r="A179" s="472"/>
      <c r="B179" s="472"/>
      <c r="C179" s="472"/>
      <c r="D179" s="472"/>
      <c r="E179" s="472"/>
      <c r="F179" s="472"/>
      <c r="G179" s="472"/>
      <c r="H179" s="472"/>
      <c r="I179" s="472"/>
      <c r="J179" s="472"/>
      <c r="K179" s="472"/>
      <c r="L179" s="472"/>
      <c r="M179" s="472"/>
      <c r="N179" s="472"/>
      <c r="O179" s="472"/>
      <c r="P179" s="472"/>
      <c r="Q179" s="472"/>
      <c r="R179" s="472"/>
      <c r="S179" s="472"/>
    </row>
    <row r="180" spans="1:19" ht="15.7" customHeight="1">
      <c r="A180" s="472"/>
      <c r="B180" s="472"/>
      <c r="C180" s="472"/>
      <c r="D180" s="472"/>
      <c r="E180" s="472"/>
      <c r="F180" s="472"/>
      <c r="G180" s="472"/>
      <c r="H180" s="472"/>
      <c r="I180" s="472"/>
      <c r="J180" s="472"/>
      <c r="K180" s="472"/>
      <c r="L180" s="472"/>
      <c r="M180" s="472"/>
      <c r="N180" s="472"/>
      <c r="O180" s="472"/>
      <c r="P180" s="472"/>
      <c r="Q180" s="472"/>
      <c r="R180" s="472"/>
      <c r="S180" s="472"/>
    </row>
    <row r="181" spans="1:19" ht="15.7" customHeight="1">
      <c r="A181" s="472"/>
      <c r="B181" s="472"/>
      <c r="C181" s="472"/>
      <c r="D181" s="472"/>
      <c r="E181" s="472"/>
      <c r="F181" s="472"/>
      <c r="G181" s="472"/>
      <c r="H181" s="472"/>
      <c r="I181" s="472"/>
      <c r="J181" s="472"/>
      <c r="K181" s="472"/>
      <c r="L181" s="472"/>
      <c r="M181" s="472"/>
      <c r="N181" s="472"/>
      <c r="O181" s="472"/>
      <c r="P181" s="472"/>
      <c r="Q181" s="472"/>
      <c r="R181" s="472"/>
      <c r="S181" s="472"/>
    </row>
    <row r="900" spans="1:15" ht="14.4">
      <c r="A900" s="50"/>
      <c r="B900" s="51"/>
      <c r="C900" s="52"/>
      <c r="D900" s="53"/>
      <c r="E900" s="53"/>
      <c r="F900" s="53"/>
      <c r="H900" s="15"/>
      <c r="I900" s="516"/>
      <c r="J900" s="515"/>
      <c r="K900" s="54"/>
      <c r="L900" s="54"/>
      <c r="M900" s="54"/>
      <c r="N900" s="54"/>
      <c r="O900" s="54"/>
    </row>
    <row r="901" spans="1:15" ht="14.4">
      <c r="A901" s="50"/>
      <c r="B901" s="55"/>
      <c r="C901" s="56"/>
      <c r="D901" s="56"/>
      <c r="E901" s="56"/>
      <c r="F901" s="56"/>
      <c r="H901" s="15"/>
      <c r="I901" s="516"/>
      <c r="J901" s="515"/>
      <c r="K901" s="22"/>
      <c r="L901" s="22"/>
      <c r="M901" s="22"/>
      <c r="N901" s="22"/>
      <c r="O901" s="22"/>
    </row>
    <row r="902" spans="1:15" ht="14.4">
      <c r="A902" s="50"/>
      <c r="B902" s="55"/>
      <c r="C902" s="56"/>
      <c r="D902" s="56"/>
      <c r="E902" s="56"/>
      <c r="F902" s="56"/>
      <c r="H902" s="514"/>
      <c r="I902" s="515"/>
      <c r="J902" s="15"/>
      <c r="K902" s="22"/>
      <c r="L902" s="22"/>
      <c r="M902" s="22"/>
      <c r="N902" s="22"/>
      <c r="O902" s="22"/>
    </row>
    <row r="903" spans="1:15" ht="14.4">
      <c r="A903" s="50"/>
      <c r="B903" s="55"/>
      <c r="C903" s="56"/>
      <c r="D903" s="56"/>
      <c r="E903" s="56"/>
      <c r="F903" s="56"/>
      <c r="H903" s="15"/>
      <c r="I903" s="516"/>
      <c r="J903" s="515"/>
      <c r="K903" s="22"/>
      <c r="L903" s="22"/>
      <c r="M903" s="22"/>
      <c r="N903" s="22"/>
      <c r="O903" s="22"/>
    </row>
    <row r="904" spans="1:15" ht="14.4">
      <c r="A904" s="50"/>
      <c r="B904" s="55"/>
      <c r="C904" s="56"/>
      <c r="D904" s="56"/>
      <c r="E904" s="56"/>
      <c r="F904" s="56"/>
      <c r="H904" s="516"/>
      <c r="I904" s="515"/>
      <c r="J904" s="15"/>
      <c r="K904" s="22"/>
      <c r="L904" s="22"/>
      <c r="M904" s="22"/>
      <c r="N904" s="22"/>
      <c r="O904" s="22"/>
    </row>
    <row r="905" spans="1:15" ht="14.4">
      <c r="A905" s="50"/>
      <c r="B905" s="51"/>
      <c r="C905" s="52"/>
      <c r="D905" s="52"/>
      <c r="E905" s="52"/>
      <c r="F905" s="52"/>
      <c r="H905" s="15"/>
      <c r="I905" s="516"/>
      <c r="J905" s="515"/>
      <c r="K905" s="54"/>
      <c r="L905" s="54"/>
      <c r="M905" s="54"/>
      <c r="N905" s="54"/>
      <c r="O905" s="54"/>
    </row>
    <row r="906" spans="1:15" ht="14.4">
      <c r="A906" s="50"/>
      <c r="B906" s="55"/>
      <c r="C906" s="56"/>
      <c r="D906" s="56"/>
      <c r="E906" s="56"/>
      <c r="F906" s="56"/>
      <c r="H906" s="514"/>
      <c r="I906" s="515"/>
      <c r="J906" s="15"/>
      <c r="K906" s="22"/>
      <c r="L906" s="22"/>
      <c r="M906" s="22"/>
      <c r="N906" s="22"/>
      <c r="O906" s="22"/>
    </row>
    <row r="907" spans="1:15" ht="14.4">
      <c r="A907" s="50"/>
      <c r="B907" s="55"/>
      <c r="C907" s="56"/>
      <c r="D907" s="56"/>
      <c r="E907" s="56"/>
      <c r="F907" s="56"/>
      <c r="H907" s="57"/>
      <c r="I907" s="15"/>
      <c r="J907" s="15"/>
      <c r="K907" s="22"/>
      <c r="L907" s="22"/>
      <c r="M907" s="22"/>
      <c r="N907" s="22"/>
      <c r="O907" s="22"/>
    </row>
    <row r="908" spans="1:15" ht="14.4">
      <c r="A908" s="50"/>
      <c r="B908" s="55"/>
      <c r="C908" s="56"/>
      <c r="D908" s="56"/>
      <c r="E908" s="56"/>
      <c r="F908" s="56"/>
      <c r="H908" s="15"/>
      <c r="I908" s="516"/>
      <c r="J908" s="515"/>
      <c r="K908" s="54"/>
      <c r="L908" s="54"/>
      <c r="M908" s="54"/>
      <c r="N908" s="54"/>
      <c r="O908" s="54"/>
    </row>
    <row r="909" spans="1:15" ht="14.4">
      <c r="A909" s="50"/>
      <c r="B909" s="55"/>
      <c r="C909" s="56"/>
      <c r="D909" s="56"/>
      <c r="E909" s="56"/>
      <c r="F909" s="56"/>
      <c r="H909" s="15"/>
      <c r="I909" s="58"/>
      <c r="J909" s="15"/>
      <c r="K909" s="22"/>
      <c r="L909" s="22"/>
      <c r="M909" s="22"/>
      <c r="N909" s="22"/>
      <c r="O909" s="22"/>
    </row>
    <row r="910" spans="1:15" ht="14.4">
      <c r="H910" s="15"/>
      <c r="I910" s="516"/>
      <c r="J910" s="515"/>
      <c r="K910" s="54"/>
      <c r="L910" s="54"/>
      <c r="M910" s="54"/>
      <c r="N910" s="54"/>
      <c r="O910" s="54"/>
    </row>
    <row r="911" spans="1:15" ht="14.4">
      <c r="H911" s="57"/>
      <c r="I911" s="15"/>
      <c r="J911" s="15"/>
      <c r="K911" s="22"/>
      <c r="L911" s="22"/>
      <c r="M911" s="22"/>
      <c r="N911" s="22"/>
      <c r="O911" s="22"/>
    </row>
    <row r="912" spans="1:15" ht="14.4">
      <c r="H912" s="15"/>
      <c r="I912" s="516"/>
      <c r="J912" s="515"/>
      <c r="K912" s="54"/>
      <c r="L912" s="54"/>
      <c r="M912" s="54"/>
      <c r="N912" s="54"/>
      <c r="O912" s="54"/>
    </row>
    <row r="913" spans="1:15" ht="14.4">
      <c r="A913" s="59"/>
      <c r="B913" s="55"/>
      <c r="C913" s="56"/>
      <c r="D913" s="56"/>
      <c r="E913" s="56"/>
      <c r="F913" s="56"/>
      <c r="H913" s="60"/>
      <c r="I913" s="61"/>
      <c r="J913" s="61"/>
      <c r="K913" s="62"/>
      <c r="L913" s="62"/>
      <c r="M913" s="62"/>
      <c r="N913" s="62"/>
      <c r="O913" s="62"/>
    </row>
    <row r="914" spans="1:15" ht="14.4">
      <c r="A914" s="50"/>
      <c r="B914" s="55"/>
      <c r="C914" s="56"/>
      <c r="D914" s="56"/>
      <c r="E914" s="56"/>
      <c r="F914" s="56"/>
      <c r="H914" s="518"/>
      <c r="I914" s="517"/>
      <c r="J914" s="517"/>
      <c r="K914" s="517"/>
      <c r="L914" s="517"/>
      <c r="M914" s="517"/>
      <c r="N914" s="517"/>
      <c r="O914" s="515"/>
    </row>
    <row r="915" spans="1:15" ht="14.4">
      <c r="A915" s="50"/>
      <c r="B915" s="55"/>
      <c r="C915" s="56"/>
      <c r="D915" s="56"/>
      <c r="E915" s="56"/>
      <c r="F915" s="56"/>
      <c r="H915" s="516"/>
      <c r="I915" s="517"/>
      <c r="J915" s="515"/>
      <c r="K915" s="15"/>
      <c r="L915" s="15"/>
      <c r="M915" s="15"/>
      <c r="N915" s="15"/>
      <c r="O915" s="15"/>
    </row>
    <row r="916" spans="1:15" ht="14.4">
      <c r="A916" s="50"/>
      <c r="B916" s="55"/>
      <c r="C916" s="56"/>
      <c r="D916" s="56"/>
      <c r="E916" s="56"/>
      <c r="F916" s="56"/>
      <c r="H916" s="514"/>
      <c r="I916" s="515"/>
      <c r="J916" s="15"/>
      <c r="K916" s="22"/>
      <c r="L916" s="22"/>
      <c r="M916" s="22"/>
      <c r="N916" s="22"/>
      <c r="O916" s="22"/>
    </row>
    <row r="917" spans="1:15" ht="14.4">
      <c r="A917" s="50"/>
      <c r="B917" s="55"/>
      <c r="C917" s="56"/>
      <c r="D917" s="56"/>
      <c r="E917" s="56"/>
      <c r="F917" s="56"/>
      <c r="H917" s="15"/>
      <c r="I917" s="516"/>
      <c r="J917" s="515"/>
      <c r="K917" s="22"/>
      <c r="L917" s="22"/>
      <c r="M917" s="22"/>
      <c r="N917" s="22"/>
      <c r="O917" s="22"/>
    </row>
    <row r="918" spans="1:15" ht="14.4">
      <c r="A918" s="50"/>
      <c r="B918" s="55"/>
      <c r="C918" s="56"/>
      <c r="D918" s="56"/>
      <c r="E918" s="56"/>
      <c r="F918" s="56"/>
      <c r="H918" s="514"/>
      <c r="I918" s="517"/>
      <c r="J918" s="515"/>
      <c r="K918" s="22"/>
      <c r="L918" s="22"/>
      <c r="M918" s="22"/>
      <c r="N918" s="22"/>
      <c r="O918" s="22"/>
    </row>
    <row r="919" spans="1:15" ht="14.4">
      <c r="A919" s="50"/>
      <c r="B919" s="55"/>
      <c r="C919" s="56"/>
      <c r="D919" s="56"/>
      <c r="E919" s="56"/>
      <c r="F919" s="56"/>
      <c r="H919" s="15"/>
      <c r="I919" s="516"/>
      <c r="J919" s="515"/>
      <c r="K919" s="22"/>
      <c r="L919" s="22"/>
      <c r="M919" s="22"/>
      <c r="N919" s="22"/>
      <c r="O919" s="22"/>
    </row>
    <row r="920" spans="1:15" ht="14.4">
      <c r="A920" s="50"/>
      <c r="B920" s="55"/>
      <c r="C920" s="56"/>
      <c r="D920" s="56"/>
      <c r="E920" s="53"/>
      <c r="F920" s="56"/>
      <c r="H920" s="15"/>
      <c r="I920" s="516"/>
      <c r="J920" s="515"/>
      <c r="K920" s="54"/>
      <c r="L920" s="54"/>
      <c r="M920" s="54"/>
      <c r="N920" s="54"/>
      <c r="O920" s="54"/>
    </row>
    <row r="921" spans="1:15" ht="14.4">
      <c r="A921" s="50"/>
      <c r="B921" s="55"/>
      <c r="C921" s="56"/>
      <c r="D921" s="56"/>
      <c r="E921" s="56"/>
      <c r="F921" s="56"/>
      <c r="H921" s="516"/>
      <c r="I921" s="517"/>
      <c r="J921" s="515"/>
      <c r="K921" s="22"/>
      <c r="L921" s="22"/>
      <c r="M921" s="22"/>
      <c r="N921" s="22"/>
      <c r="O921" s="22"/>
    </row>
    <row r="922" spans="1:15" ht="14.4">
      <c r="A922" s="50"/>
      <c r="B922" s="55"/>
      <c r="C922" s="56"/>
      <c r="D922" s="56"/>
      <c r="E922" s="56"/>
      <c r="F922" s="56"/>
      <c r="H922" s="15"/>
      <c r="I922" s="516"/>
      <c r="J922" s="515"/>
      <c r="K922" s="54"/>
      <c r="L922" s="54"/>
      <c r="M922" s="54"/>
      <c r="N922" s="54"/>
      <c r="O922" s="54"/>
    </row>
    <row r="923" spans="1:15" ht="14.4">
      <c r="A923" s="50"/>
      <c r="B923" s="51"/>
      <c r="C923" s="63"/>
      <c r="D923" s="53"/>
      <c r="E923" s="53"/>
      <c r="F923" s="56"/>
      <c r="H923" s="514"/>
      <c r="I923" s="515"/>
      <c r="J923" s="15"/>
      <c r="K923" s="22"/>
      <c r="L923" s="22"/>
      <c r="M923" s="22"/>
      <c r="N923" s="22"/>
      <c r="O923" s="22"/>
    </row>
    <row r="924" spans="1:15" ht="14.4">
      <c r="A924" s="50"/>
      <c r="B924" s="51"/>
      <c r="C924" s="52"/>
      <c r="D924" s="53"/>
      <c r="E924" s="53"/>
      <c r="F924" s="53"/>
      <c r="H924" s="15"/>
      <c r="I924" s="516"/>
      <c r="J924" s="515"/>
      <c r="K924" s="54"/>
      <c r="L924" s="54"/>
      <c r="M924" s="54"/>
      <c r="N924" s="54"/>
      <c r="O924" s="54"/>
    </row>
    <row r="925" spans="1:15" ht="14.4">
      <c r="A925" s="50"/>
      <c r="B925" s="55"/>
      <c r="C925" s="56"/>
      <c r="D925" s="56"/>
      <c r="E925" s="56"/>
      <c r="F925" s="56"/>
      <c r="H925" s="15"/>
      <c r="I925" s="516"/>
      <c r="J925" s="515"/>
      <c r="K925" s="22"/>
      <c r="L925" s="22"/>
      <c r="M925" s="22"/>
      <c r="N925" s="22"/>
      <c r="O925" s="22"/>
    </row>
    <row r="926" spans="1:15" ht="14.4">
      <c r="A926" s="50"/>
      <c r="B926" s="55"/>
      <c r="C926" s="56"/>
      <c r="D926" s="56"/>
      <c r="E926" s="56"/>
      <c r="F926" s="56"/>
      <c r="H926" s="514"/>
      <c r="I926" s="515"/>
      <c r="J926" s="15"/>
      <c r="K926" s="22"/>
      <c r="L926" s="22"/>
      <c r="M926" s="22"/>
      <c r="N926" s="22"/>
      <c r="O926" s="22"/>
    </row>
    <row r="927" spans="1:15" ht="14.4">
      <c r="A927" s="50"/>
      <c r="B927" s="55"/>
      <c r="C927" s="56"/>
      <c r="D927" s="56"/>
      <c r="E927" s="56"/>
      <c r="F927" s="56"/>
      <c r="H927" s="15"/>
      <c r="I927" s="516"/>
      <c r="J927" s="515"/>
      <c r="K927" s="22"/>
      <c r="L927" s="22"/>
      <c r="M927" s="22"/>
      <c r="N927" s="22"/>
      <c r="O927" s="22"/>
    </row>
    <row r="928" spans="1:15" ht="14.4">
      <c r="A928" s="50"/>
      <c r="B928" s="55"/>
      <c r="C928" s="56"/>
      <c r="D928" s="56"/>
      <c r="E928" s="56"/>
      <c r="F928" s="56"/>
      <c r="H928" s="516"/>
      <c r="I928" s="515"/>
      <c r="J928" s="15"/>
      <c r="K928" s="22"/>
      <c r="L928" s="22"/>
      <c r="M928" s="22"/>
      <c r="N928" s="22"/>
      <c r="O928" s="22"/>
    </row>
    <row r="929" spans="1:15" ht="14.4">
      <c r="A929" s="50"/>
      <c r="B929" s="51"/>
      <c r="C929" s="52"/>
      <c r="D929" s="52"/>
      <c r="E929" s="52"/>
      <c r="F929" s="52"/>
      <c r="H929" s="15"/>
      <c r="I929" s="516"/>
      <c r="J929" s="515"/>
      <c r="K929" s="54"/>
      <c r="L929" s="54"/>
      <c r="M929" s="54"/>
      <c r="N929" s="54"/>
      <c r="O929" s="54"/>
    </row>
    <row r="930" spans="1:15" ht="14.4">
      <c r="A930" s="50"/>
      <c r="B930" s="55"/>
      <c r="C930" s="56"/>
      <c r="D930" s="56"/>
      <c r="E930" s="56"/>
      <c r="F930" s="56"/>
      <c r="H930" s="514"/>
      <c r="I930" s="515"/>
      <c r="J930" s="15"/>
      <c r="K930" s="22"/>
      <c r="L930" s="22"/>
      <c r="M930" s="22"/>
      <c r="N930" s="22"/>
      <c r="O930" s="22"/>
    </row>
    <row r="931" spans="1:15" ht="14.4">
      <c r="A931" s="50"/>
      <c r="B931" s="55"/>
      <c r="C931" s="56"/>
      <c r="D931" s="56"/>
      <c r="E931" s="56"/>
      <c r="F931" s="56"/>
      <c r="H931" s="57"/>
      <c r="I931" s="15"/>
      <c r="J931" s="15"/>
      <c r="K931" s="22"/>
      <c r="L931" s="22"/>
      <c r="M931" s="22"/>
      <c r="N931" s="22"/>
      <c r="O931" s="22"/>
    </row>
    <row r="932" spans="1:15" ht="14.4">
      <c r="A932" s="50"/>
      <c r="B932" s="55"/>
      <c r="C932" s="56"/>
      <c r="D932" s="56"/>
      <c r="E932" s="56"/>
      <c r="F932" s="56"/>
      <c r="H932" s="15"/>
      <c r="I932" s="516"/>
      <c r="J932" s="515"/>
      <c r="K932" s="54"/>
      <c r="L932" s="54"/>
      <c r="M932" s="54"/>
      <c r="N932" s="54"/>
      <c r="O932" s="54"/>
    </row>
    <row r="933" spans="1:15" ht="14.4">
      <c r="A933" s="50"/>
      <c r="B933" s="55"/>
      <c r="C933" s="56"/>
      <c r="D933" s="56"/>
      <c r="E933" s="56"/>
      <c r="F933" s="56"/>
      <c r="H933" s="15"/>
      <c r="I933" s="58"/>
      <c r="J933" s="15"/>
      <c r="K933" s="22"/>
      <c r="L933" s="22"/>
      <c r="M933" s="22"/>
      <c r="N933" s="22"/>
      <c r="O933" s="22"/>
    </row>
    <row r="934" spans="1:15" ht="14.4">
      <c r="H934" s="15"/>
      <c r="I934" s="516"/>
      <c r="J934" s="515"/>
      <c r="K934" s="54"/>
      <c r="L934" s="54"/>
      <c r="M934" s="54"/>
      <c r="N934" s="54"/>
      <c r="O934" s="54"/>
    </row>
    <row r="935" spans="1:15" ht="14.4">
      <c r="H935" s="57"/>
      <c r="I935" s="15"/>
      <c r="J935" s="15"/>
      <c r="K935" s="22"/>
      <c r="L935" s="22"/>
      <c r="M935" s="22"/>
      <c r="N935" s="22"/>
      <c r="O935" s="22"/>
    </row>
    <row r="936" spans="1:15" ht="14.4">
      <c r="H936" s="15"/>
      <c r="I936" s="516"/>
      <c r="J936" s="515"/>
      <c r="K936" s="54"/>
      <c r="L936" s="54"/>
      <c r="M936" s="54"/>
      <c r="N936" s="54"/>
      <c r="O936" s="54"/>
    </row>
    <row r="937" spans="1:15" ht="14.4">
      <c r="A937" s="59"/>
      <c r="B937" s="55"/>
      <c r="C937" s="56"/>
      <c r="D937" s="56"/>
      <c r="E937" s="56"/>
      <c r="F937" s="56"/>
      <c r="H937" s="60"/>
      <c r="I937" s="61"/>
      <c r="J937" s="61"/>
      <c r="K937" s="62"/>
      <c r="L937" s="62"/>
      <c r="M937" s="62"/>
      <c r="N937" s="62"/>
      <c r="O937" s="62"/>
    </row>
    <row r="938" spans="1:15" ht="14.4">
      <c r="A938" s="50"/>
      <c r="B938" s="55"/>
      <c r="C938" s="56"/>
      <c r="D938" s="56"/>
      <c r="E938" s="56"/>
      <c r="F938" s="56"/>
      <c r="H938" s="518"/>
      <c r="I938" s="517"/>
      <c r="J938" s="517"/>
      <c r="K938" s="517"/>
      <c r="L938" s="517"/>
      <c r="M938" s="517"/>
      <c r="N938" s="517"/>
      <c r="O938" s="515"/>
    </row>
    <row r="939" spans="1:15" ht="14.4">
      <c r="A939" s="50"/>
      <c r="B939" s="55"/>
      <c r="C939" s="56"/>
      <c r="D939" s="56"/>
      <c r="E939" s="56"/>
      <c r="F939" s="56"/>
      <c r="H939" s="516"/>
      <c r="I939" s="517"/>
      <c r="J939" s="515"/>
      <c r="K939" s="15"/>
      <c r="L939" s="15"/>
      <c r="M939" s="15"/>
      <c r="N939" s="15"/>
      <c r="O939" s="15"/>
    </row>
    <row r="940" spans="1:15" ht="14.4">
      <c r="A940" s="50"/>
      <c r="B940" s="55"/>
      <c r="C940" s="56"/>
      <c r="D940" s="56"/>
      <c r="E940" s="56"/>
      <c r="F940" s="56"/>
      <c r="H940" s="514"/>
      <c r="I940" s="515"/>
      <c r="J940" s="15"/>
      <c r="K940" s="22"/>
      <c r="L940" s="22"/>
      <c r="M940" s="22"/>
      <c r="N940" s="22"/>
      <c r="O940" s="22"/>
    </row>
    <row r="941" spans="1:15" ht="14.4">
      <c r="A941" s="50"/>
      <c r="B941" s="55"/>
      <c r="C941" s="56"/>
      <c r="D941" s="56"/>
      <c r="E941" s="56"/>
      <c r="F941" s="56"/>
      <c r="H941" s="15"/>
      <c r="I941" s="516"/>
      <c r="J941" s="515"/>
      <c r="K941" s="22"/>
      <c r="L941" s="22"/>
      <c r="M941" s="22"/>
      <c r="N941" s="22"/>
      <c r="O941" s="22"/>
    </row>
    <row r="942" spans="1:15" ht="14.4">
      <c r="A942" s="50"/>
      <c r="B942" s="55"/>
      <c r="C942" s="56"/>
      <c r="D942" s="56"/>
      <c r="E942" s="56"/>
      <c r="F942" s="56"/>
      <c r="H942" s="514"/>
      <c r="I942" s="517"/>
      <c r="J942" s="515"/>
      <c r="K942" s="22"/>
      <c r="L942" s="22"/>
      <c r="M942" s="22"/>
      <c r="N942" s="22"/>
      <c r="O942" s="22"/>
    </row>
    <row r="943" spans="1:15" ht="14.4">
      <c r="A943" s="50"/>
      <c r="B943" s="55"/>
      <c r="C943" s="56"/>
      <c r="D943" s="56"/>
      <c r="E943" s="56"/>
      <c r="F943" s="56"/>
      <c r="H943" s="15"/>
      <c r="I943" s="516"/>
      <c r="J943" s="515"/>
      <c r="K943" s="22"/>
      <c r="L943" s="22"/>
      <c r="M943" s="22"/>
      <c r="N943" s="22"/>
      <c r="O943" s="22"/>
    </row>
    <row r="944" spans="1:15" ht="14.4">
      <c r="A944" s="50"/>
      <c r="B944" s="55"/>
      <c r="C944" s="56"/>
      <c r="D944" s="56"/>
      <c r="E944" s="53"/>
      <c r="F944" s="56"/>
      <c r="H944" s="15"/>
      <c r="I944" s="516"/>
      <c r="J944" s="515"/>
      <c r="K944" s="54"/>
      <c r="L944" s="54"/>
      <c r="M944" s="54"/>
      <c r="N944" s="54"/>
      <c r="O944" s="54"/>
    </row>
    <row r="945" spans="1:15" ht="14.4">
      <c r="A945" s="50"/>
      <c r="B945" s="55"/>
      <c r="C945" s="56"/>
      <c r="D945" s="56"/>
      <c r="E945" s="56"/>
      <c r="F945" s="56"/>
      <c r="H945" s="516"/>
      <c r="I945" s="517"/>
      <c r="J945" s="515"/>
      <c r="K945" s="22"/>
      <c r="L945" s="22"/>
      <c r="M945" s="22"/>
      <c r="N945" s="22"/>
      <c r="O945" s="22"/>
    </row>
    <row r="946" spans="1:15" ht="14.4">
      <c r="A946" s="50"/>
      <c r="B946" s="55"/>
      <c r="C946" s="56"/>
      <c r="D946" s="56"/>
      <c r="E946" s="56"/>
      <c r="F946" s="56"/>
      <c r="H946" s="15"/>
      <c r="I946" s="516"/>
      <c r="J946" s="515"/>
      <c r="K946" s="54"/>
      <c r="L946" s="54"/>
      <c r="M946" s="54"/>
      <c r="N946" s="54"/>
      <c r="O946" s="54"/>
    </row>
    <row r="947" spans="1:15" ht="14.4">
      <c r="A947" s="50"/>
      <c r="B947" s="51"/>
      <c r="C947" s="63"/>
      <c r="D947" s="53"/>
      <c r="E947" s="53"/>
      <c r="F947" s="56"/>
      <c r="H947" s="514"/>
      <c r="I947" s="515"/>
      <c r="J947" s="15"/>
      <c r="K947" s="22"/>
      <c r="L947" s="22"/>
      <c r="M947" s="22"/>
      <c r="N947" s="22"/>
      <c r="O947" s="22"/>
    </row>
    <row r="948" spans="1:15" ht="14.4">
      <c r="A948" s="50"/>
      <c r="B948" s="51"/>
      <c r="C948" s="52"/>
      <c r="D948" s="53"/>
      <c r="E948" s="53"/>
      <c r="F948" s="53"/>
      <c r="H948" s="15"/>
      <c r="I948" s="516"/>
      <c r="J948" s="515"/>
      <c r="K948" s="54"/>
      <c r="L948" s="54"/>
      <c r="M948" s="54"/>
      <c r="N948" s="54"/>
      <c r="O948" s="54"/>
    </row>
    <row r="949" spans="1:15" ht="14.4">
      <c r="A949" s="50"/>
      <c r="B949" s="55"/>
      <c r="C949" s="56"/>
      <c r="D949" s="56"/>
      <c r="E949" s="56"/>
      <c r="F949" s="56"/>
      <c r="H949" s="15"/>
      <c r="I949" s="516"/>
      <c r="J949" s="515"/>
      <c r="K949" s="22"/>
      <c r="L949" s="22"/>
      <c r="M949" s="22"/>
      <c r="N949" s="22"/>
      <c r="O949" s="22"/>
    </row>
    <row r="950" spans="1:15" ht="14.4">
      <c r="A950" s="50"/>
      <c r="B950" s="55"/>
      <c r="C950" s="56"/>
      <c r="D950" s="56"/>
      <c r="E950" s="56"/>
      <c r="F950" s="56"/>
      <c r="H950" s="514"/>
      <c r="I950" s="515"/>
      <c r="J950" s="15"/>
      <c r="K950" s="22"/>
      <c r="L950" s="22"/>
      <c r="M950" s="22"/>
      <c r="N950" s="22"/>
      <c r="O950" s="22"/>
    </row>
    <row r="951" spans="1:15" ht="14.4">
      <c r="A951" s="50"/>
      <c r="B951" s="55"/>
      <c r="C951" s="56"/>
      <c r="D951" s="56"/>
      <c r="E951" s="56"/>
      <c r="F951" s="56"/>
      <c r="H951" s="15"/>
      <c r="I951" s="516"/>
      <c r="J951" s="515"/>
      <c r="K951" s="22"/>
      <c r="L951" s="22"/>
      <c r="M951" s="22"/>
      <c r="N951" s="22"/>
      <c r="O951" s="22"/>
    </row>
    <row r="952" spans="1:15" ht="14.4">
      <c r="A952" s="50"/>
      <c r="B952" s="55"/>
      <c r="C952" s="56"/>
      <c r="D952" s="56"/>
      <c r="E952" s="56"/>
      <c r="F952" s="56"/>
      <c r="H952" s="516"/>
      <c r="I952" s="515"/>
      <c r="J952" s="15"/>
      <c r="K952" s="22"/>
      <c r="L952" s="22"/>
      <c r="M952" s="22"/>
      <c r="N952" s="22"/>
      <c r="O952" s="22"/>
    </row>
    <row r="953" spans="1:15" ht="14.4">
      <c r="A953" s="50"/>
      <c r="B953" s="51"/>
      <c r="C953" s="52"/>
      <c r="D953" s="52"/>
      <c r="E953" s="52"/>
      <c r="F953" s="52"/>
      <c r="H953" s="15"/>
      <c r="I953" s="516"/>
      <c r="J953" s="515"/>
      <c r="K953" s="54"/>
      <c r="L953" s="54"/>
      <c r="M953" s="54"/>
      <c r="N953" s="54"/>
      <c r="O953" s="54"/>
    </row>
    <row r="954" spans="1:15" ht="14.4">
      <c r="A954" s="50"/>
      <c r="B954" s="55"/>
      <c r="C954" s="56"/>
      <c r="D954" s="56"/>
      <c r="E954" s="56"/>
      <c r="F954" s="56"/>
      <c r="H954" s="514"/>
      <c r="I954" s="515"/>
      <c r="J954" s="15"/>
      <c r="K954" s="22"/>
      <c r="L954" s="22"/>
      <c r="M954" s="22"/>
      <c r="N954" s="22"/>
      <c r="O954" s="22"/>
    </row>
    <row r="955" spans="1:15" ht="14.4">
      <c r="A955" s="50"/>
      <c r="B955" s="55"/>
      <c r="C955" s="56"/>
      <c r="D955" s="56"/>
      <c r="E955" s="56"/>
      <c r="F955" s="56"/>
      <c r="H955" s="57"/>
      <c r="I955" s="15"/>
      <c r="J955" s="15"/>
      <c r="K955" s="22"/>
      <c r="L955" s="22"/>
      <c r="M955" s="22"/>
      <c r="N955" s="22"/>
      <c r="O955" s="22"/>
    </row>
    <row r="956" spans="1:15" ht="14.4">
      <c r="A956" s="50"/>
      <c r="B956" s="55"/>
      <c r="C956" s="56"/>
      <c r="D956" s="56"/>
      <c r="E956" s="56"/>
      <c r="F956" s="56"/>
      <c r="H956" s="15"/>
      <c r="I956" s="516"/>
      <c r="J956" s="515"/>
      <c r="K956" s="54"/>
      <c r="L956" s="54"/>
      <c r="M956" s="54"/>
      <c r="N956" s="54"/>
      <c r="O956" s="54"/>
    </row>
    <row r="957" spans="1:15" ht="14.4">
      <c r="A957" s="50"/>
      <c r="B957" s="55"/>
      <c r="C957" s="56"/>
      <c r="D957" s="56"/>
      <c r="E957" s="56"/>
      <c r="F957" s="56"/>
      <c r="H957" s="15"/>
      <c r="I957" s="58"/>
      <c r="J957" s="15"/>
      <c r="K957" s="22"/>
      <c r="L957" s="22"/>
      <c r="M957" s="22"/>
      <c r="N957" s="22"/>
      <c r="O957" s="22"/>
    </row>
    <row r="958" spans="1:15" ht="14.4">
      <c r="H958" s="15"/>
      <c r="I958" s="516"/>
      <c r="J958" s="515"/>
      <c r="K958" s="54"/>
      <c r="L958" s="54"/>
      <c r="M958" s="54"/>
      <c r="N958" s="54"/>
      <c r="O958" s="54"/>
    </row>
    <row r="959" spans="1:15" ht="14.4">
      <c r="H959" s="57"/>
      <c r="I959" s="15"/>
      <c r="J959" s="15"/>
      <c r="K959" s="22"/>
      <c r="L959" s="22"/>
      <c r="M959" s="22"/>
      <c r="N959" s="22"/>
      <c r="O959" s="22"/>
    </row>
    <row r="960" spans="1:15" ht="14.4">
      <c r="H960" s="15"/>
      <c r="I960" s="516"/>
      <c r="J960" s="515"/>
      <c r="K960" s="54"/>
      <c r="L960" s="54"/>
      <c r="M960" s="54"/>
      <c r="N960" s="54"/>
      <c r="O960" s="54"/>
    </row>
    <row r="961" spans="1:15" ht="14.4">
      <c r="A961" s="59"/>
      <c r="B961" s="55"/>
      <c r="C961" s="56"/>
      <c r="D961" s="56"/>
      <c r="E961" s="56"/>
      <c r="F961" s="56"/>
      <c r="H961" s="60"/>
      <c r="I961" s="61"/>
      <c r="J961" s="61"/>
      <c r="K961" s="62"/>
      <c r="L961" s="62"/>
      <c r="M961" s="62"/>
      <c r="N961" s="62"/>
      <c r="O961" s="62"/>
    </row>
    <row r="962" spans="1:15" ht="14.4">
      <c r="A962" s="50"/>
      <c r="B962" s="55"/>
      <c r="C962" s="56"/>
      <c r="D962" s="56"/>
      <c r="E962" s="56"/>
      <c r="F962" s="56"/>
      <c r="H962" s="518"/>
      <c r="I962" s="517"/>
      <c r="J962" s="517"/>
      <c r="K962" s="517"/>
      <c r="L962" s="517"/>
      <c r="M962" s="517"/>
      <c r="N962" s="517"/>
      <c r="O962" s="515"/>
    </row>
    <row r="963" spans="1:15" ht="14.4">
      <c r="A963" s="50"/>
      <c r="B963" s="55"/>
      <c r="C963" s="56"/>
      <c r="D963" s="56"/>
      <c r="E963" s="56"/>
      <c r="F963" s="56"/>
      <c r="H963" s="516"/>
      <c r="I963" s="517"/>
      <c r="J963" s="515"/>
      <c r="K963" s="15"/>
      <c r="L963" s="15"/>
      <c r="M963" s="15"/>
      <c r="N963" s="15"/>
      <c r="O963" s="15"/>
    </row>
    <row r="964" spans="1:15" ht="14.4">
      <c r="A964" s="50"/>
      <c r="B964" s="55"/>
      <c r="C964" s="56"/>
      <c r="D964" s="56"/>
      <c r="E964" s="56"/>
      <c r="F964" s="56"/>
      <c r="H964" s="514"/>
      <c r="I964" s="515"/>
      <c r="J964" s="15"/>
      <c r="K964" s="22"/>
      <c r="L964" s="22"/>
      <c r="M964" s="22"/>
      <c r="N964" s="22"/>
      <c r="O964" s="22"/>
    </row>
    <row r="965" spans="1:15" ht="14.4">
      <c r="A965" s="50"/>
      <c r="B965" s="55"/>
      <c r="C965" s="56"/>
      <c r="D965" s="56"/>
      <c r="E965" s="56"/>
      <c r="F965" s="56"/>
      <c r="H965" s="15"/>
      <c r="I965" s="516"/>
      <c r="J965" s="515"/>
      <c r="K965" s="22"/>
      <c r="L965" s="22"/>
      <c r="M965" s="22"/>
      <c r="N965" s="22"/>
      <c r="O965" s="22"/>
    </row>
    <row r="966" spans="1:15" ht="14.4">
      <c r="A966" s="50"/>
      <c r="B966" s="55"/>
      <c r="C966" s="56"/>
      <c r="D966" s="56"/>
      <c r="E966" s="56"/>
      <c r="F966" s="56"/>
      <c r="H966" s="514"/>
      <c r="I966" s="517"/>
      <c r="J966" s="515"/>
      <c r="K966" s="22"/>
      <c r="L966" s="22"/>
      <c r="M966" s="22"/>
      <c r="N966" s="22"/>
      <c r="O966" s="22"/>
    </row>
    <row r="967" spans="1:15" ht="14.4">
      <c r="A967" s="50"/>
      <c r="B967" s="55"/>
      <c r="C967" s="56"/>
      <c r="D967" s="56"/>
      <c r="E967" s="56"/>
      <c r="F967" s="56"/>
      <c r="H967" s="15"/>
      <c r="I967" s="516"/>
      <c r="J967" s="515"/>
      <c r="K967" s="22"/>
      <c r="L967" s="22"/>
      <c r="M967" s="22"/>
      <c r="N967" s="22"/>
      <c r="O967" s="22"/>
    </row>
    <row r="968" spans="1:15" ht="14.4">
      <c r="A968" s="50"/>
      <c r="B968" s="55"/>
      <c r="C968" s="56"/>
      <c r="D968" s="56"/>
      <c r="E968" s="53"/>
      <c r="F968" s="56"/>
      <c r="H968" s="15"/>
      <c r="I968" s="516"/>
      <c r="J968" s="515"/>
      <c r="K968" s="54"/>
      <c r="L968" s="54"/>
      <c r="M968" s="54"/>
      <c r="N968" s="54"/>
      <c r="O968" s="54"/>
    </row>
    <row r="969" spans="1:15" ht="14.4">
      <c r="A969" s="50"/>
      <c r="B969" s="55"/>
      <c r="C969" s="56"/>
      <c r="D969" s="56"/>
      <c r="E969" s="56"/>
      <c r="F969" s="56"/>
      <c r="H969" s="516"/>
      <c r="I969" s="517"/>
      <c r="J969" s="515"/>
      <c r="K969" s="22"/>
      <c r="L969" s="22"/>
      <c r="M969" s="22"/>
      <c r="N969" s="22"/>
      <c r="O969" s="22"/>
    </row>
    <row r="970" spans="1:15" ht="14.4">
      <c r="A970" s="50"/>
      <c r="B970" s="55"/>
      <c r="C970" s="56"/>
      <c r="D970" s="56"/>
      <c r="E970" s="56"/>
      <c r="F970" s="56"/>
      <c r="H970" s="15"/>
      <c r="I970" s="516"/>
      <c r="J970" s="515"/>
      <c r="K970" s="54"/>
      <c r="L970" s="54"/>
      <c r="M970" s="54"/>
      <c r="N970" s="54"/>
      <c r="O970" s="54"/>
    </row>
    <row r="971" spans="1:15" ht="14.4">
      <c r="A971" s="50"/>
      <c r="B971" s="51"/>
      <c r="C971" s="63"/>
      <c r="D971" s="53"/>
      <c r="E971" s="53"/>
      <c r="F971" s="56"/>
      <c r="H971" s="514"/>
      <c r="I971" s="515"/>
      <c r="J971" s="15"/>
      <c r="K971" s="22"/>
      <c r="L971" s="22"/>
      <c r="M971" s="22"/>
      <c r="N971" s="22"/>
      <c r="O971" s="22"/>
    </row>
    <row r="972" spans="1:15" ht="14.4">
      <c r="A972" s="50"/>
      <c r="B972" s="51"/>
      <c r="C972" s="52"/>
      <c r="D972" s="53"/>
      <c r="E972" s="53"/>
      <c r="F972" s="53"/>
      <c r="H972" s="15"/>
      <c r="I972" s="516"/>
      <c r="J972" s="515"/>
      <c r="K972" s="54"/>
      <c r="L972" s="54"/>
      <c r="M972" s="54"/>
      <c r="N972" s="54"/>
      <c r="O972" s="54"/>
    </row>
    <row r="973" spans="1:15" ht="14.4">
      <c r="A973" s="50"/>
      <c r="B973" s="55"/>
      <c r="C973" s="56"/>
      <c r="D973" s="56"/>
      <c r="E973" s="56"/>
      <c r="F973" s="56"/>
      <c r="H973" s="15"/>
      <c r="I973" s="516"/>
      <c r="J973" s="515"/>
      <c r="K973" s="22"/>
      <c r="L973" s="22"/>
      <c r="M973" s="22"/>
      <c r="N973" s="22"/>
      <c r="O973" s="22"/>
    </row>
    <row r="974" spans="1:15" ht="14.4">
      <c r="A974" s="50"/>
      <c r="B974" s="55"/>
      <c r="C974" s="56"/>
      <c r="D974" s="56"/>
      <c r="E974" s="56"/>
      <c r="F974" s="56"/>
      <c r="H974" s="514"/>
      <c r="I974" s="515"/>
      <c r="J974" s="15"/>
      <c r="K974" s="22"/>
      <c r="L974" s="22"/>
      <c r="M974" s="22"/>
      <c r="N974" s="22"/>
      <c r="O974" s="22"/>
    </row>
    <row r="975" spans="1:15" ht="14.4">
      <c r="A975" s="50"/>
      <c r="B975" s="55"/>
      <c r="C975" s="56"/>
      <c r="D975" s="56"/>
      <c r="E975" s="56"/>
      <c r="F975" s="56"/>
      <c r="H975" s="15"/>
      <c r="I975" s="516"/>
      <c r="J975" s="515"/>
      <c r="K975" s="22"/>
      <c r="L975" s="22"/>
      <c r="M975" s="22"/>
      <c r="N975" s="22"/>
      <c r="O975" s="22"/>
    </row>
    <row r="976" spans="1:15" ht="14.4">
      <c r="A976" s="50"/>
      <c r="B976" s="55"/>
      <c r="C976" s="56"/>
      <c r="D976" s="56"/>
      <c r="E976" s="56"/>
      <c r="F976" s="56"/>
      <c r="H976" s="516"/>
      <c r="I976" s="515"/>
      <c r="J976" s="15"/>
      <c r="K976" s="22"/>
      <c r="L976" s="22"/>
      <c r="M976" s="22"/>
      <c r="N976" s="22"/>
      <c r="O976" s="22"/>
    </row>
    <row r="977" spans="1:15" ht="14.4">
      <c r="A977" s="50"/>
      <c r="B977" s="51"/>
      <c r="C977" s="52"/>
      <c r="D977" s="52"/>
      <c r="E977" s="52"/>
      <c r="F977" s="52"/>
      <c r="H977" s="15"/>
      <c r="I977" s="516"/>
      <c r="J977" s="515"/>
      <c r="K977" s="54"/>
      <c r="L977" s="54"/>
      <c r="M977" s="54"/>
      <c r="N977" s="54"/>
      <c r="O977" s="54"/>
    </row>
    <row r="978" spans="1:15" ht="14.4">
      <c r="A978" s="50"/>
      <c r="B978" s="55"/>
      <c r="C978" s="56"/>
      <c r="D978" s="56"/>
      <c r="E978" s="56"/>
      <c r="F978" s="56"/>
      <c r="H978" s="514"/>
      <c r="I978" s="515"/>
      <c r="J978" s="15"/>
      <c r="K978" s="22"/>
      <c r="L978" s="22"/>
      <c r="M978" s="22"/>
      <c r="N978" s="22"/>
      <c r="O978" s="22"/>
    </row>
    <row r="979" spans="1:15" ht="14.4">
      <c r="A979" s="50"/>
      <c r="B979" s="55"/>
      <c r="C979" s="56"/>
      <c r="D979" s="56"/>
      <c r="E979" s="56"/>
      <c r="F979" s="56"/>
      <c r="H979" s="57"/>
      <c r="I979" s="15"/>
      <c r="J979" s="15"/>
      <c r="K979" s="22"/>
      <c r="L979" s="22"/>
      <c r="M979" s="22"/>
      <c r="N979" s="22"/>
      <c r="O979" s="22"/>
    </row>
    <row r="980" spans="1:15" ht="14.4">
      <c r="A980" s="50"/>
      <c r="B980" s="55"/>
      <c r="C980" s="56"/>
      <c r="D980" s="56"/>
      <c r="E980" s="56"/>
      <c r="F980" s="56"/>
      <c r="H980" s="15"/>
      <c r="I980" s="516"/>
      <c r="J980" s="515"/>
      <c r="K980" s="54"/>
      <c r="L980" s="54"/>
      <c r="M980" s="54"/>
      <c r="N980" s="54"/>
      <c r="O980" s="54"/>
    </row>
    <row r="981" spans="1:15" ht="14.4">
      <c r="A981" s="50"/>
      <c r="B981" s="55"/>
      <c r="C981" s="56"/>
      <c r="D981" s="56"/>
      <c r="E981" s="56"/>
      <c r="F981" s="56"/>
      <c r="H981" s="15"/>
      <c r="I981" s="58"/>
      <c r="J981" s="15"/>
      <c r="K981" s="22"/>
      <c r="L981" s="22"/>
      <c r="M981" s="22"/>
      <c r="N981" s="22"/>
      <c r="O981" s="22"/>
    </row>
    <row r="982" spans="1:15" ht="14.4">
      <c r="H982" s="15"/>
      <c r="I982" s="516"/>
      <c r="J982" s="515"/>
      <c r="K982" s="54"/>
      <c r="L982" s="54"/>
      <c r="M982" s="54"/>
      <c r="N982" s="54"/>
      <c r="O982" s="54"/>
    </row>
    <row r="983" spans="1:15" ht="14.4">
      <c r="H983" s="57"/>
      <c r="I983" s="15"/>
      <c r="J983" s="15"/>
      <c r="K983" s="22"/>
      <c r="L983" s="22"/>
      <c r="M983" s="22"/>
      <c r="N983" s="22"/>
      <c r="O983" s="22"/>
    </row>
    <row r="984" spans="1:15" ht="14.4">
      <c r="H984" s="15"/>
      <c r="I984" s="516"/>
      <c r="J984" s="515"/>
      <c r="K984" s="54"/>
      <c r="L984" s="54"/>
      <c r="M984" s="54"/>
      <c r="N984" s="54"/>
      <c r="O984" s="54"/>
    </row>
  </sheetData>
  <mergeCells count="92">
    <mergeCell ref="B161:F161"/>
    <mergeCell ref="O23:P23"/>
    <mergeCell ref="O24:P24"/>
    <mergeCell ref="N25:O25"/>
    <mergeCell ref="O26:P26"/>
    <mergeCell ref="N27:O27"/>
    <mergeCell ref="O28:P28"/>
    <mergeCell ref="N29:O29"/>
    <mergeCell ref="N13:U13"/>
    <mergeCell ref="O163:S163"/>
    <mergeCell ref="N20:P20"/>
    <mergeCell ref="O21:P21"/>
    <mergeCell ref="N22:O22"/>
    <mergeCell ref="O31:P31"/>
    <mergeCell ref="O33:P33"/>
    <mergeCell ref="O35:P35"/>
    <mergeCell ref="O19:P19"/>
    <mergeCell ref="N14:P14"/>
    <mergeCell ref="N15:O15"/>
    <mergeCell ref="O16:P16"/>
    <mergeCell ref="N17:P17"/>
    <mergeCell ref="O18:P18"/>
    <mergeCell ref="I900:J900"/>
    <mergeCell ref="I901:J901"/>
    <mergeCell ref="H902:I902"/>
    <mergeCell ref="I903:J903"/>
    <mergeCell ref="H904:I904"/>
    <mergeCell ref="I905:J905"/>
    <mergeCell ref="H906:I906"/>
    <mergeCell ref="I975:J975"/>
    <mergeCell ref="H976:I976"/>
    <mergeCell ref="I908:J908"/>
    <mergeCell ref="I910:J910"/>
    <mergeCell ref="I912:J912"/>
    <mergeCell ref="H914:O914"/>
    <mergeCell ref="H915:J915"/>
    <mergeCell ref="H916:I916"/>
    <mergeCell ref="I917:J917"/>
    <mergeCell ref="H918:J918"/>
    <mergeCell ref="I919:J919"/>
    <mergeCell ref="I920:J920"/>
    <mergeCell ref="H921:J921"/>
    <mergeCell ref="I922:J922"/>
    <mergeCell ref="H923:I923"/>
    <mergeCell ref="I924:J924"/>
    <mergeCell ref="I925:J925"/>
    <mergeCell ref="I977:J977"/>
    <mergeCell ref="H978:I978"/>
    <mergeCell ref="H926:I926"/>
    <mergeCell ref="I927:J927"/>
    <mergeCell ref="H928:I928"/>
    <mergeCell ref="I929:J929"/>
    <mergeCell ref="H930:I930"/>
    <mergeCell ref="I932:J932"/>
    <mergeCell ref="I934:J934"/>
    <mergeCell ref="I936:J936"/>
    <mergeCell ref="H938:O938"/>
    <mergeCell ref="H939:J939"/>
    <mergeCell ref="H940:I940"/>
    <mergeCell ref="I980:J980"/>
    <mergeCell ref="I982:J982"/>
    <mergeCell ref="I984:J984"/>
    <mergeCell ref="I968:J968"/>
    <mergeCell ref="H969:J969"/>
    <mergeCell ref="I970:J970"/>
    <mergeCell ref="H971:I971"/>
    <mergeCell ref="I972:J972"/>
    <mergeCell ref="I973:J973"/>
    <mergeCell ref="H974:I974"/>
    <mergeCell ref="I941:J941"/>
    <mergeCell ref="H942:J942"/>
    <mergeCell ref="I943:J943"/>
    <mergeCell ref="I944:J944"/>
    <mergeCell ref="H945:J945"/>
    <mergeCell ref="I946:J946"/>
    <mergeCell ref="H947:I947"/>
    <mergeCell ref="I960:J960"/>
    <mergeCell ref="H962:O962"/>
    <mergeCell ref="H963:J963"/>
    <mergeCell ref="H964:I964"/>
    <mergeCell ref="I965:J965"/>
    <mergeCell ref="H966:J966"/>
    <mergeCell ref="I967:J967"/>
    <mergeCell ref="I948:J948"/>
    <mergeCell ref="I949:J949"/>
    <mergeCell ref="H950:I950"/>
    <mergeCell ref="I951:J951"/>
    <mergeCell ref="H952:I952"/>
    <mergeCell ref="I953:J953"/>
    <mergeCell ref="H954:I954"/>
    <mergeCell ref="I956:J956"/>
    <mergeCell ref="I958:J95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670E-88DC-48B7-8C9A-88C3A2127ECB}">
  <dimension ref="A1:S102"/>
  <sheetViews>
    <sheetView topLeftCell="A85" workbookViewId="0">
      <selection activeCell="F101" sqref="F101"/>
    </sheetView>
  </sheetViews>
  <sheetFormatPr defaultRowHeight="12.7"/>
  <cols>
    <col min="1" max="1" width="24.77734375" customWidth="1"/>
    <col min="2" max="2" width="12.6640625" customWidth="1"/>
    <col min="5" max="5" width="20.109375" customWidth="1"/>
    <col min="11" max="11" width="15.88671875" customWidth="1"/>
  </cols>
  <sheetData>
    <row r="1" spans="1:7" ht="14.4" thickBot="1">
      <c r="A1" s="68" t="s">
        <v>98</v>
      </c>
      <c r="B1" s="64"/>
      <c r="C1" s="64"/>
      <c r="D1" s="64"/>
      <c r="E1" s="64"/>
      <c r="F1" s="64"/>
      <c r="G1" s="64"/>
    </row>
    <row r="2" spans="1:7" ht="15.55" thickTop="1" thickBot="1">
      <c r="A2" s="69" t="s">
        <v>99</v>
      </c>
      <c r="B2" s="41">
        <f>'RAMCO SYSTEMS LIMITED'!F10</f>
        <v>324.5</v>
      </c>
      <c r="C2" s="64"/>
      <c r="D2" s="64" t="s">
        <v>96</v>
      </c>
      <c r="E2" s="64"/>
      <c r="F2" s="75">
        <f>'RAMCO SYSTEMS LIMITED'!J42</f>
        <v>4.48E-2</v>
      </c>
      <c r="G2" s="64"/>
    </row>
    <row r="3" spans="1:7" ht="13.25" thickTop="1">
      <c r="A3" s="69" t="s">
        <v>100</v>
      </c>
      <c r="B3" s="71">
        <f>'RAMCO SYSTEMS LIMITED'!J32</f>
        <v>9.7331685194064932E-2</v>
      </c>
      <c r="C3" s="64"/>
      <c r="D3" s="64" t="s">
        <v>97</v>
      </c>
      <c r="E3" s="64"/>
      <c r="F3" s="75">
        <f>'RAMCO SYSTEMS LIMITED'!J43</f>
        <v>1</v>
      </c>
      <c r="G3" s="64"/>
    </row>
    <row r="4" spans="1:7">
      <c r="A4" s="69" t="s">
        <v>101</v>
      </c>
      <c r="B4" s="71">
        <f>'RAMCO SYSTEMS LIMITED'!J33</f>
        <v>0.31306369754306318</v>
      </c>
      <c r="C4" s="64"/>
      <c r="D4" s="64"/>
      <c r="E4" s="64"/>
      <c r="F4" s="64"/>
      <c r="G4" s="64"/>
    </row>
    <row r="5" spans="1:7" ht="16.149999999999999">
      <c r="A5" s="69" t="s">
        <v>102</v>
      </c>
      <c r="B5" s="71">
        <f>'RAMCO SYSTEMS LIMITED'!J34</f>
        <v>9.7660887515628486E-2</v>
      </c>
      <c r="C5" s="64"/>
      <c r="D5" s="64"/>
      <c r="E5" s="64"/>
      <c r="F5" s="64"/>
      <c r="G5" s="64"/>
    </row>
    <row r="6" spans="1:7">
      <c r="A6" s="69" t="s">
        <v>92</v>
      </c>
      <c r="B6" s="71">
        <v>0.1</v>
      </c>
      <c r="C6" s="64"/>
      <c r="D6" s="64"/>
      <c r="E6" s="64"/>
      <c r="F6" s="64"/>
      <c r="G6" s="64"/>
    </row>
    <row r="7" spans="1:7">
      <c r="A7" s="69" t="s">
        <v>103</v>
      </c>
      <c r="B7" s="71">
        <f>'RAMCO SYSTEMS LIMITED'!J38</f>
        <v>0.53937930507530374</v>
      </c>
      <c r="C7" s="64"/>
      <c r="D7" s="64"/>
      <c r="E7" s="64"/>
      <c r="F7" s="64"/>
      <c r="G7" s="64"/>
    </row>
    <row r="8" spans="1:7">
      <c r="A8" s="69" t="s">
        <v>77</v>
      </c>
      <c r="B8" s="71">
        <f>'RAMCO SYSTEMS LIMITED'!J39</f>
        <v>0.25903702999653322</v>
      </c>
      <c r="C8" s="64"/>
      <c r="D8" s="64"/>
      <c r="E8" s="64"/>
      <c r="F8" s="64"/>
      <c r="G8" s="64"/>
    </row>
    <row r="9" spans="1:7">
      <c r="A9" s="69" t="s">
        <v>104</v>
      </c>
      <c r="B9" s="70">
        <f>'RAMCO SYSTEMS LIMITED'!F37</f>
        <v>183.21</v>
      </c>
      <c r="C9" s="64"/>
      <c r="D9" s="64"/>
      <c r="E9" s="64"/>
      <c r="F9" s="64"/>
      <c r="G9" s="64"/>
    </row>
    <row r="10" spans="1:7" ht="13.85">
      <c r="A10" s="72" t="s">
        <v>105</v>
      </c>
      <c r="B10" s="73"/>
      <c r="C10" s="72">
        <v>2020</v>
      </c>
      <c r="D10" s="72">
        <v>2021</v>
      </c>
      <c r="E10" s="72">
        <v>2022</v>
      </c>
      <c r="F10" s="72">
        <v>2023</v>
      </c>
      <c r="G10" s="72">
        <v>2024</v>
      </c>
    </row>
    <row r="11" spans="1:7">
      <c r="A11" s="64" t="s">
        <v>73</v>
      </c>
      <c r="B11" s="64"/>
      <c r="C11" s="64">
        <f>B2*(1+$B$3)</f>
        <v>356.08413184547408</v>
      </c>
      <c r="D11" s="64">
        <f>C11*(1+$B$3)</f>
        <v>390.74240046885967</v>
      </c>
      <c r="E11" s="64">
        <f>D11*(1+$B$3)</f>
        <v>428.77401678326794</v>
      </c>
      <c r="F11" s="64">
        <f>E11*(1+$B$3)</f>
        <v>470.50731440421168</v>
      </c>
      <c r="G11" s="64">
        <f>F11*(1+$B$3)</f>
        <v>516.30258421130736</v>
      </c>
    </row>
    <row r="12" spans="1:7">
      <c r="A12" s="64" t="s">
        <v>39</v>
      </c>
      <c r="B12" s="64"/>
      <c r="C12" s="64">
        <f>$B$4*C11</f>
        <v>111.47701495195572</v>
      </c>
      <c r="D12" s="64">
        <f>$B$4*D11</f>
        <v>122.32726067763355</v>
      </c>
      <c r="E12" s="64">
        <f>$B$4*E11</f>
        <v>134.2335791045613</v>
      </c>
      <c r="F12" s="64">
        <f>$B$4*F11</f>
        <v>147.29875956843907</v>
      </c>
      <c r="G12" s="64">
        <f>$B$4*G11</f>
        <v>161.63559606423064</v>
      </c>
    </row>
    <row r="13" spans="1:7">
      <c r="A13" s="64" t="s">
        <v>106</v>
      </c>
      <c r="B13" s="64"/>
      <c r="C13" s="64">
        <f>$B$5*B19</f>
        <v>17.892451201738297</v>
      </c>
      <c r="D13" s="64">
        <f>$B$5*C19</f>
        <v>19.622607772172564</v>
      </c>
      <c r="E13" s="64">
        <f>$B$5*D19</f>
        <v>21.522271443748718</v>
      </c>
      <c r="F13" s="64">
        <f>$B$5*E19</f>
        <v>23.607832415469449</v>
      </c>
      <c r="G13" s="64">
        <f>$B$5*F19</f>
        <v>25.897286740185493</v>
      </c>
    </row>
    <row r="14" spans="1:7">
      <c r="A14" s="64" t="s">
        <v>47</v>
      </c>
      <c r="B14" s="64"/>
      <c r="C14" s="64">
        <f>C12-C13</f>
        <v>93.584563750217427</v>
      </c>
      <c r="D14" s="64">
        <f>D12-D13</f>
        <v>102.70465290546099</v>
      </c>
      <c r="E14" s="64">
        <f>E12-E13</f>
        <v>112.71130766081258</v>
      </c>
      <c r="F14" s="64">
        <f>F12-F13</f>
        <v>123.69092715296962</v>
      </c>
      <c r="G14" s="64">
        <f>G12-G13</f>
        <v>135.73830932404513</v>
      </c>
    </row>
    <row r="15" spans="1:7">
      <c r="A15" s="64" t="s">
        <v>107</v>
      </c>
      <c r="B15" s="64"/>
      <c r="C15" s="64">
        <f>C14*(1-$B$8)</f>
        <v>69.342696302839883</v>
      </c>
      <c r="D15" s="64">
        <f>D14*(1-$B$8)</f>
        <v>76.100344650005553</v>
      </c>
      <c r="E15" s="64">
        <f>E14*(1-$B$8)</f>
        <v>83.514905277330186</v>
      </c>
      <c r="F15" s="64">
        <f>F14*(1-$B$8)</f>
        <v>91.650396745746818</v>
      </c>
      <c r="G15" s="64">
        <f>G14*(1-$B$8)</f>
        <v>100.57706081999375</v>
      </c>
    </row>
    <row r="16" spans="1:7">
      <c r="A16" s="64"/>
      <c r="B16" s="64"/>
      <c r="C16" s="64"/>
      <c r="D16" s="64"/>
      <c r="E16" s="64"/>
      <c r="F16" s="64"/>
      <c r="G16" s="64"/>
    </row>
    <row r="17" spans="1:7" ht="13.85">
      <c r="A17" s="72" t="s">
        <v>108</v>
      </c>
      <c r="B17" s="72">
        <v>2019</v>
      </c>
      <c r="C17" s="72">
        <v>2020</v>
      </c>
      <c r="D17" s="72">
        <v>2021</v>
      </c>
      <c r="E17" s="72">
        <v>2022</v>
      </c>
      <c r="F17" s="72">
        <v>2023</v>
      </c>
      <c r="G17" s="72">
        <v>2024</v>
      </c>
    </row>
    <row r="18" spans="1:7">
      <c r="A18" s="64" t="s">
        <v>94</v>
      </c>
      <c r="B18" s="64">
        <f>'RAMCO SYSTEMS LIMITED'!F37</f>
        <v>183.21</v>
      </c>
      <c r="C18" s="64">
        <f>$B$7*C11</f>
        <v>192.06441158315465</v>
      </c>
      <c r="D18" s="64">
        <f>$B$7*D11</f>
        <v>210.75836442834958</v>
      </c>
      <c r="E18" s="64">
        <f>$B$7*E11</f>
        <v>231.27183120690569</v>
      </c>
      <c r="F18" s="64">
        <f>$B$7*F11</f>
        <v>253.78190827619116</v>
      </c>
      <c r="G18" s="64">
        <f>$B$7*G11</f>
        <v>278.48292908047847</v>
      </c>
    </row>
    <row r="19" spans="1:7">
      <c r="A19" s="64" t="s">
        <v>109</v>
      </c>
      <c r="B19" s="74">
        <f>B9</f>
        <v>183.21</v>
      </c>
      <c r="C19" s="74">
        <f>B19+C25-C13</f>
        <v>200.9259619828091</v>
      </c>
      <c r="D19" s="74">
        <f>C19+D25-D13</f>
        <v>220.3775942575225</v>
      </c>
      <c r="E19" s="74">
        <f>D19+E25-E13</f>
        <v>241.7327244921006</v>
      </c>
      <c r="F19" s="74">
        <f>E19+F25-F13</f>
        <v>265.17562351705232</v>
      </c>
      <c r="G19" s="74">
        <f>F19+G25-G13</f>
        <v>290.90859519799756</v>
      </c>
    </row>
    <row r="20" spans="1:7">
      <c r="A20" s="64" t="s">
        <v>17</v>
      </c>
      <c r="B20" s="74">
        <f t="shared" ref="B20:G20" si="0">B19+B18</f>
        <v>366.42</v>
      </c>
      <c r="C20" s="74">
        <f t="shared" si="0"/>
        <v>392.99037356596375</v>
      </c>
      <c r="D20" s="74">
        <f t="shared" si="0"/>
        <v>431.13595868587208</v>
      </c>
      <c r="E20" s="74">
        <f t="shared" si="0"/>
        <v>473.00455569900629</v>
      </c>
      <c r="F20" s="74">
        <f t="shared" si="0"/>
        <v>518.95753179324345</v>
      </c>
      <c r="G20" s="74">
        <f t="shared" si="0"/>
        <v>569.39152427847603</v>
      </c>
    </row>
    <row r="21" spans="1:7">
      <c r="A21" s="64"/>
      <c r="B21" s="64"/>
      <c r="C21" s="74"/>
      <c r="D21" s="64"/>
      <c r="E21" s="64"/>
      <c r="F21" s="64"/>
      <c r="G21" s="64"/>
    </row>
    <row r="22" spans="1:7">
      <c r="A22" s="64"/>
      <c r="B22" s="64"/>
      <c r="C22" s="64"/>
      <c r="D22" s="64"/>
      <c r="E22" s="64"/>
      <c r="F22" s="64"/>
      <c r="G22" s="64"/>
    </row>
    <row r="23" spans="1:7">
      <c r="A23" s="64"/>
      <c r="B23" s="64"/>
      <c r="C23" s="64"/>
      <c r="D23" s="64"/>
      <c r="E23" s="64"/>
      <c r="F23" s="64"/>
      <c r="G23" s="64"/>
    </row>
    <row r="24" spans="1:7">
      <c r="A24" s="64"/>
      <c r="B24" s="64"/>
      <c r="C24" s="74"/>
      <c r="D24" s="64"/>
      <c r="E24" s="64"/>
      <c r="F24" s="64"/>
      <c r="G24" s="64"/>
    </row>
    <row r="25" spans="1:7">
      <c r="A25" s="64" t="s">
        <v>110</v>
      </c>
      <c r="B25" s="64"/>
      <c r="C25" s="64">
        <f>$B$6*C11</f>
        <v>35.608413184547409</v>
      </c>
      <c r="D25" s="64">
        <f>$B$6*D11</f>
        <v>39.074240046885969</v>
      </c>
      <c r="E25" s="64">
        <f>$B$6*E11</f>
        <v>42.877401678326798</v>
      </c>
      <c r="F25" s="64">
        <f>$B$6*F11</f>
        <v>47.050731440421174</v>
      </c>
      <c r="G25" s="64">
        <f>$B$6*G11</f>
        <v>51.63025842113074</v>
      </c>
    </row>
    <row r="26" spans="1:7">
      <c r="A26" s="64"/>
      <c r="B26" s="64"/>
      <c r="C26" s="64"/>
      <c r="D26" s="64"/>
      <c r="E26" s="64"/>
      <c r="F26" s="64"/>
      <c r="G26" s="64"/>
    </row>
    <row r="27" spans="1:7" ht="13.85">
      <c r="A27" s="72" t="s">
        <v>111</v>
      </c>
      <c r="B27" s="73"/>
      <c r="C27" s="72">
        <v>2020</v>
      </c>
      <c r="D27" s="72">
        <v>2021</v>
      </c>
      <c r="E27" s="72">
        <v>2022</v>
      </c>
      <c r="F27" s="72">
        <v>2023</v>
      </c>
      <c r="G27" s="72">
        <v>2024</v>
      </c>
    </row>
    <row r="28" spans="1:7">
      <c r="A28" s="64" t="s">
        <v>112</v>
      </c>
      <c r="B28" s="64"/>
      <c r="C28" s="64">
        <f>C15</f>
        <v>69.342696302839883</v>
      </c>
      <c r="D28" s="64">
        <f>D15</f>
        <v>76.100344650005553</v>
      </c>
      <c r="E28" s="64">
        <f>E15</f>
        <v>83.514905277330186</v>
      </c>
      <c r="F28" s="64">
        <f>F15</f>
        <v>91.650396745746818</v>
      </c>
      <c r="G28" s="64">
        <f>G15</f>
        <v>100.57706081999375</v>
      </c>
    </row>
    <row r="29" spans="1:7">
      <c r="A29" s="64" t="s">
        <v>113</v>
      </c>
      <c r="B29" s="64"/>
      <c r="C29" s="64">
        <f>C13</f>
        <v>17.892451201738297</v>
      </c>
      <c r="D29" s="64">
        <f>D13</f>
        <v>19.622607772172564</v>
      </c>
      <c r="E29" s="64">
        <f>E13</f>
        <v>21.522271443748718</v>
      </c>
      <c r="F29" s="64">
        <f>F13</f>
        <v>23.607832415469449</v>
      </c>
      <c r="G29" s="64">
        <f>G13</f>
        <v>25.897286740185493</v>
      </c>
    </row>
    <row r="30" spans="1:7">
      <c r="A30" s="64" t="s">
        <v>93</v>
      </c>
      <c r="B30" s="64"/>
      <c r="C30" s="64">
        <f>C25</f>
        <v>35.608413184547409</v>
      </c>
      <c r="D30" s="64">
        <f>D25</f>
        <v>39.074240046885969</v>
      </c>
      <c r="E30" s="64">
        <f>E25</f>
        <v>42.877401678326798</v>
      </c>
      <c r="F30" s="64">
        <f>F25</f>
        <v>47.050731440421174</v>
      </c>
      <c r="G30" s="64">
        <f>G25</f>
        <v>51.63025842113074</v>
      </c>
    </row>
    <row r="31" spans="1:7">
      <c r="A31" s="64" t="s">
        <v>114</v>
      </c>
      <c r="B31" s="64"/>
      <c r="C31" s="64">
        <f>C18-B18</f>
        <v>8.8544115831546435</v>
      </c>
      <c r="D31" s="64">
        <f>D18-C18</f>
        <v>18.693952845194929</v>
      </c>
      <c r="E31" s="64">
        <f>E18-D18</f>
        <v>20.513466778556108</v>
      </c>
      <c r="F31" s="64">
        <f>F18-E18</f>
        <v>22.510077069285472</v>
      </c>
      <c r="G31" s="64">
        <f>G18-F18</f>
        <v>24.70102080428731</v>
      </c>
    </row>
    <row r="32" spans="1:7">
      <c r="A32" s="64"/>
      <c r="B32" s="64"/>
      <c r="C32" s="64"/>
      <c r="D32" s="64"/>
      <c r="E32" s="64"/>
      <c r="F32" s="64"/>
      <c r="G32" s="64"/>
    </row>
    <row r="33" spans="1:17">
      <c r="A33" s="64" t="s">
        <v>68</v>
      </c>
      <c r="B33" s="64"/>
      <c r="C33" s="64">
        <f>C28+C29-C30-C31</f>
        <v>42.772322736876127</v>
      </c>
      <c r="D33" s="64">
        <f>D28+D29-D30-D31</f>
        <v>37.954759530097213</v>
      </c>
      <c r="E33" s="64">
        <f>E28+E29-E30-E31</f>
        <v>41.646308264196001</v>
      </c>
      <c r="F33" s="64">
        <f>F28+F29-F30-F31</f>
        <v>45.697420651509617</v>
      </c>
      <c r="G33" s="64">
        <f>G28+G29-G30-G31</f>
        <v>50.143068334761182</v>
      </c>
    </row>
    <row r="36" spans="1:17">
      <c r="A36" t="s">
        <v>137</v>
      </c>
      <c r="B36" s="67">
        <v>0.14760000000000001</v>
      </c>
    </row>
    <row r="37" spans="1:17">
      <c r="A37" t="s">
        <v>149</v>
      </c>
      <c r="B37">
        <v>80.3</v>
      </c>
    </row>
    <row r="40" spans="1:17">
      <c r="A40" s="81" t="s">
        <v>143</v>
      </c>
      <c r="B40" s="64"/>
      <c r="C40" s="64"/>
      <c r="D40" s="64"/>
      <c r="E40" s="64"/>
      <c r="F40" s="64"/>
      <c r="G40" s="64"/>
    </row>
    <row r="41" spans="1:17">
      <c r="A41" s="87" t="s">
        <v>128</v>
      </c>
      <c r="B41" s="85"/>
      <c r="C41" s="85"/>
      <c r="D41" s="85"/>
      <c r="E41" s="85"/>
      <c r="F41" s="85"/>
      <c r="G41" s="85"/>
      <c r="H41" s="86"/>
      <c r="I41" s="86"/>
      <c r="J41" s="86"/>
      <c r="K41" s="87"/>
      <c r="L41" s="85"/>
      <c r="M41" s="85"/>
      <c r="N41" s="85"/>
      <c r="O41" s="85"/>
      <c r="P41" s="85"/>
      <c r="Q41" s="85"/>
    </row>
    <row r="42" spans="1:17">
      <c r="A42" s="85" t="s">
        <v>115</v>
      </c>
      <c r="B42" s="85"/>
      <c r="C42" s="88">
        <v>3.5000000000000003E-2</v>
      </c>
      <c r="D42" s="85"/>
      <c r="E42" s="85"/>
      <c r="F42" s="85"/>
      <c r="G42" s="85"/>
      <c r="H42" s="86"/>
      <c r="I42" s="86"/>
      <c r="J42" s="86"/>
      <c r="K42" s="85" t="s">
        <v>115</v>
      </c>
      <c r="L42" s="85"/>
      <c r="M42" s="88">
        <v>1.4999999999999999E-2</v>
      </c>
      <c r="N42" s="85"/>
      <c r="O42" s="85"/>
      <c r="P42" s="85"/>
      <c r="Q42" s="85"/>
    </row>
    <row r="43" spans="1:17">
      <c r="A43" s="85" t="s">
        <v>116</v>
      </c>
      <c r="B43" s="85"/>
      <c r="C43" s="85">
        <f>G33*(1+C42)/(B36-C42)</f>
        <v>460.90653398292909</v>
      </c>
      <c r="D43" s="85" t="s">
        <v>117</v>
      </c>
      <c r="E43" s="85"/>
      <c r="F43" s="85"/>
      <c r="G43" s="85"/>
      <c r="H43" s="86"/>
      <c r="I43" s="86"/>
      <c r="J43" s="86"/>
      <c r="K43" s="85" t="s">
        <v>116</v>
      </c>
      <c r="L43" s="85"/>
      <c r="M43" s="85">
        <f>G33*(1+B36)/(B36-M42)</f>
        <v>433.96821433613826</v>
      </c>
      <c r="N43" s="85" t="s">
        <v>117</v>
      </c>
      <c r="O43" s="85"/>
      <c r="P43" s="85"/>
      <c r="Q43" s="85"/>
    </row>
    <row r="44" spans="1:17">
      <c r="A44" s="85" t="s">
        <v>118</v>
      </c>
      <c r="B44" s="85"/>
      <c r="C44" s="85">
        <f>C43/(1+B36)^5</f>
        <v>231.55820110157725</v>
      </c>
      <c r="D44" s="85" t="s">
        <v>117</v>
      </c>
      <c r="E44" s="85"/>
      <c r="F44" s="85"/>
      <c r="G44" s="85"/>
      <c r="H44" s="86"/>
      <c r="I44" s="86"/>
      <c r="J44" s="86"/>
      <c r="K44" s="85" t="s">
        <v>118</v>
      </c>
      <c r="L44" s="85"/>
      <c r="M44" s="85">
        <f>M43/(1+L36)^5</f>
        <v>433.96821433613826</v>
      </c>
      <c r="N44" s="85" t="s">
        <v>117</v>
      </c>
      <c r="O44" s="85"/>
      <c r="P44" s="85"/>
      <c r="Q44" s="85"/>
    </row>
    <row r="45" spans="1:17">
      <c r="A45" s="85"/>
      <c r="B45" s="85"/>
      <c r="C45" s="85"/>
      <c r="D45" s="85"/>
      <c r="E45" s="85"/>
      <c r="F45" s="85"/>
      <c r="G45" s="85"/>
      <c r="H45" s="86"/>
      <c r="I45" s="86"/>
      <c r="J45" s="86"/>
      <c r="K45" s="85"/>
      <c r="L45" s="85"/>
      <c r="M45" s="85"/>
      <c r="N45" s="85"/>
      <c r="O45" s="85"/>
      <c r="P45" s="85"/>
      <c r="Q45" s="85"/>
    </row>
    <row r="46" spans="1:17">
      <c r="A46" s="85" t="s">
        <v>119</v>
      </c>
      <c r="B46" s="89">
        <f>NPV(B36,C33:G33)+C44</f>
        <v>376.74265045356856</v>
      </c>
      <c r="C46" s="85" t="s">
        <v>117</v>
      </c>
      <c r="D46" s="85"/>
      <c r="E46" s="85" t="s">
        <v>162</v>
      </c>
      <c r="F46" s="85">
        <v>11</v>
      </c>
      <c r="G46" s="85"/>
      <c r="H46" s="86"/>
      <c r="I46" s="86"/>
      <c r="J46" s="86"/>
      <c r="K46" s="85" t="s">
        <v>119</v>
      </c>
      <c r="L46" s="89">
        <f>NPV(B36,C33:G33)+M44</f>
        <v>579.15266368812956</v>
      </c>
      <c r="M46" s="85" t="s">
        <v>117</v>
      </c>
      <c r="N46" s="85"/>
      <c r="O46" s="85" t="s">
        <v>162</v>
      </c>
      <c r="P46" s="85">
        <v>11</v>
      </c>
      <c r="Q46" s="85"/>
    </row>
    <row r="47" spans="1:17">
      <c r="A47" s="85" t="s">
        <v>120</v>
      </c>
      <c r="B47" s="89">
        <f>B46-B37+F46</f>
        <v>307.44265045356855</v>
      </c>
      <c r="C47" s="85" t="s">
        <v>117</v>
      </c>
      <c r="D47" s="85"/>
      <c r="E47" s="85"/>
      <c r="F47" s="85"/>
      <c r="G47" s="85"/>
      <c r="H47" s="86"/>
      <c r="I47" s="86"/>
      <c r="J47" s="86"/>
      <c r="K47" s="85" t="s">
        <v>120</v>
      </c>
      <c r="L47" s="89">
        <f>L46-L37+P46</f>
        <v>590.15266368812956</v>
      </c>
      <c r="M47" s="85" t="s">
        <v>117</v>
      </c>
      <c r="N47" s="85"/>
      <c r="O47" s="85"/>
      <c r="P47" s="85"/>
      <c r="Q47" s="85"/>
    </row>
    <row r="48" spans="1:17">
      <c r="A48" s="85" t="s">
        <v>121</v>
      </c>
      <c r="B48" s="85">
        <f>B47/G48</f>
        <v>99.819042355054719</v>
      </c>
      <c r="C48" s="85" t="s">
        <v>122</v>
      </c>
      <c r="D48" s="85"/>
      <c r="E48" s="91" t="s">
        <v>126</v>
      </c>
      <c r="F48" s="85"/>
      <c r="G48" s="85">
        <v>3.08</v>
      </c>
      <c r="H48" s="86"/>
      <c r="I48" s="86"/>
      <c r="J48" s="86"/>
      <c r="K48" s="85" t="s">
        <v>121</v>
      </c>
      <c r="L48" s="85">
        <f>L47/Q48</f>
        <v>191.60800769095115</v>
      </c>
      <c r="M48" s="85" t="s">
        <v>122</v>
      </c>
      <c r="N48" s="85"/>
      <c r="O48" s="91" t="s">
        <v>126</v>
      </c>
      <c r="P48" s="85"/>
      <c r="Q48" s="85">
        <v>3.08</v>
      </c>
    </row>
    <row r="49" spans="1:19">
      <c r="A49" s="85" t="s">
        <v>123</v>
      </c>
      <c r="B49" s="85">
        <v>324.25</v>
      </c>
      <c r="C49" s="85" t="s">
        <v>122</v>
      </c>
      <c r="D49" s="91" t="s">
        <v>127</v>
      </c>
      <c r="E49" s="85"/>
      <c r="F49" s="85"/>
      <c r="G49" s="85"/>
      <c r="H49" s="86"/>
      <c r="I49" s="86"/>
      <c r="J49" s="86"/>
      <c r="K49" s="85" t="s">
        <v>123</v>
      </c>
      <c r="L49" s="85">
        <v>324.25</v>
      </c>
      <c r="M49" s="85" t="s">
        <v>122</v>
      </c>
      <c r="N49" s="91" t="s">
        <v>127</v>
      </c>
      <c r="O49" s="85"/>
      <c r="P49" s="85"/>
      <c r="Q49" s="85"/>
    </row>
    <row r="54" spans="1:19">
      <c r="A54" s="81" t="s">
        <v>139</v>
      </c>
      <c r="B54" s="80"/>
      <c r="C54" s="80"/>
      <c r="D54" s="80"/>
      <c r="E54" s="80"/>
      <c r="F54" s="80"/>
      <c r="G54" s="80"/>
      <c r="H54" s="80"/>
      <c r="I54" s="80"/>
    </row>
    <row r="55" spans="1:19">
      <c r="A55" s="86"/>
      <c r="B55" s="86">
        <v>2015</v>
      </c>
      <c r="C55" s="86">
        <v>2016</v>
      </c>
      <c r="D55" s="86">
        <v>2017</v>
      </c>
      <c r="E55" s="86">
        <v>2018</v>
      </c>
      <c r="F55" s="86">
        <v>2019</v>
      </c>
      <c r="G55" s="86"/>
      <c r="H55" s="86"/>
      <c r="I55" s="86"/>
      <c r="J55" s="86"/>
      <c r="K55" s="86"/>
      <c r="L55" s="86">
        <v>2015</v>
      </c>
      <c r="M55" s="86">
        <v>2016</v>
      </c>
      <c r="N55" s="86">
        <v>2017</v>
      </c>
      <c r="O55" s="86">
        <v>2018</v>
      </c>
      <c r="P55" s="86">
        <v>2019</v>
      </c>
      <c r="Q55" s="86"/>
      <c r="R55" s="86"/>
      <c r="S55" s="86"/>
    </row>
    <row r="56" spans="1:19">
      <c r="A56" s="86" t="s">
        <v>140</v>
      </c>
      <c r="B56" s="86">
        <v>31.56</v>
      </c>
      <c r="C56" s="86">
        <v>30.58</v>
      </c>
      <c r="D56" s="86">
        <v>20.54</v>
      </c>
      <c r="E56" s="86">
        <v>8.4499999999999993</v>
      </c>
      <c r="F56" s="86">
        <v>6.38</v>
      </c>
      <c r="G56" s="86"/>
      <c r="H56" s="86" t="s">
        <v>141</v>
      </c>
      <c r="I56" s="86">
        <f>AVERAGE(B56:F56)</f>
        <v>19.502000000000002</v>
      </c>
      <c r="J56" s="86"/>
      <c r="K56" s="86" t="s">
        <v>140</v>
      </c>
      <c r="L56" s="86">
        <v>31.56</v>
      </c>
      <c r="M56" s="86">
        <v>30.58</v>
      </c>
      <c r="N56" s="86">
        <v>20.54</v>
      </c>
      <c r="O56" s="86">
        <v>8.4499999999999993</v>
      </c>
      <c r="P56" s="86">
        <v>6.38</v>
      </c>
      <c r="Q56" s="86"/>
      <c r="R56" s="86" t="s">
        <v>141</v>
      </c>
      <c r="S56" s="86">
        <v>15</v>
      </c>
    </row>
    <row r="57" spans="1:19">
      <c r="A57" s="86" t="s">
        <v>142</v>
      </c>
      <c r="B57" s="86">
        <f>'RAMCO SYSTEMS LIMITED'!F11</f>
        <v>127.09</v>
      </c>
      <c r="C57" s="86"/>
      <c r="D57" s="86"/>
      <c r="E57" s="86"/>
      <c r="F57" s="86"/>
      <c r="G57" s="86"/>
      <c r="H57" s="86"/>
      <c r="I57" s="86"/>
      <c r="J57" s="86"/>
      <c r="K57" s="86" t="s">
        <v>142</v>
      </c>
      <c r="L57" s="86">
        <f>'RAMCO SYSTEMS LIMITED'!F11</f>
        <v>127.09</v>
      </c>
      <c r="M57" s="86"/>
      <c r="N57" s="86"/>
      <c r="O57" s="86"/>
      <c r="P57" s="86"/>
      <c r="Q57" s="86"/>
      <c r="R57" s="86"/>
      <c r="S57" s="86"/>
    </row>
    <row r="58" spans="1:19">
      <c r="A58" s="85" t="s">
        <v>118</v>
      </c>
      <c r="B58" s="85">
        <f>B57*I56</f>
        <v>2478.5091800000005</v>
      </c>
      <c r="C58" s="85"/>
      <c r="D58" s="85" t="s">
        <v>117</v>
      </c>
      <c r="E58" s="85"/>
      <c r="F58" s="85"/>
      <c r="G58" s="85"/>
      <c r="H58" s="86"/>
      <c r="I58" s="86"/>
      <c r="J58" s="86"/>
      <c r="K58" s="85" t="s">
        <v>118</v>
      </c>
      <c r="L58" s="85">
        <f>L57*S56</f>
        <v>1906.3500000000001</v>
      </c>
      <c r="M58" s="85"/>
      <c r="N58" s="85" t="s">
        <v>117</v>
      </c>
      <c r="O58" s="85"/>
      <c r="P58" s="85"/>
      <c r="Q58" s="85"/>
      <c r="R58" s="86"/>
      <c r="S58" s="86"/>
    </row>
    <row r="59" spans="1:19">
      <c r="A59" s="85"/>
      <c r="B59" s="85"/>
      <c r="C59" s="85"/>
      <c r="D59" s="85"/>
      <c r="E59" s="85"/>
      <c r="F59" s="85"/>
      <c r="G59" s="85"/>
      <c r="H59" s="86"/>
      <c r="I59" s="86"/>
      <c r="J59" s="86"/>
      <c r="K59" s="85"/>
      <c r="L59" s="85"/>
      <c r="M59" s="85"/>
      <c r="N59" s="85"/>
      <c r="O59" s="85"/>
      <c r="P59" s="85"/>
      <c r="Q59" s="85"/>
      <c r="R59" s="86"/>
      <c r="S59" s="86"/>
    </row>
    <row r="60" spans="1:19">
      <c r="A60" s="85" t="s">
        <v>119</v>
      </c>
      <c r="B60" s="89">
        <f>B58+NPV(B36,C33:G33)</f>
        <v>2623.6936293519916</v>
      </c>
      <c r="C60" s="85" t="s">
        <v>117</v>
      </c>
      <c r="D60" s="85"/>
      <c r="E60" s="85"/>
      <c r="F60" s="85"/>
      <c r="G60" s="85"/>
      <c r="H60" s="86"/>
      <c r="I60" s="86"/>
      <c r="J60" s="86"/>
      <c r="K60" s="85" t="s">
        <v>119</v>
      </c>
      <c r="L60" s="89">
        <f>L58+NPV(B36,C33:G33)</f>
        <v>2051.5344493519915</v>
      </c>
      <c r="M60" s="85" t="s">
        <v>117</v>
      </c>
      <c r="N60" s="85"/>
      <c r="O60" s="85"/>
      <c r="P60" s="85"/>
      <c r="Q60" s="85"/>
      <c r="R60" s="86"/>
      <c r="S60" s="86"/>
    </row>
    <row r="61" spans="1:19">
      <c r="A61" s="85" t="s">
        <v>120</v>
      </c>
      <c r="B61" s="89">
        <f>B60-B37+F46</f>
        <v>2554.3936293519914</v>
      </c>
      <c r="C61" s="85" t="s">
        <v>117</v>
      </c>
      <c r="D61" s="85"/>
      <c r="E61" s="85"/>
      <c r="F61" s="85"/>
      <c r="G61" s="85"/>
      <c r="H61" s="86"/>
      <c r="I61" s="86"/>
      <c r="J61" s="86"/>
      <c r="K61" s="85" t="s">
        <v>120</v>
      </c>
      <c r="L61" s="89">
        <f>L60-B37+P46</f>
        <v>1982.2344493519915</v>
      </c>
      <c r="M61" s="85" t="s">
        <v>117</v>
      </c>
      <c r="N61" s="85"/>
      <c r="O61" s="85"/>
      <c r="P61" s="85"/>
      <c r="Q61" s="85"/>
      <c r="R61" s="86"/>
      <c r="S61" s="86"/>
    </row>
    <row r="62" spans="1:19">
      <c r="A62" s="85" t="s">
        <v>121</v>
      </c>
      <c r="B62" s="85">
        <f>B61/G62</f>
        <v>829.34858095843879</v>
      </c>
      <c r="C62" s="85" t="s">
        <v>122</v>
      </c>
      <c r="D62" s="85"/>
      <c r="E62" s="91" t="s">
        <v>126</v>
      </c>
      <c r="F62" s="85"/>
      <c r="G62" s="85">
        <v>3.08</v>
      </c>
      <c r="H62" s="86"/>
      <c r="I62" s="86"/>
      <c r="J62" s="86"/>
      <c r="K62" s="85" t="s">
        <v>121</v>
      </c>
      <c r="L62" s="85">
        <f>L61/Q62</f>
        <v>643.58261342597132</v>
      </c>
      <c r="M62" s="85" t="s">
        <v>122</v>
      </c>
      <c r="N62" s="85"/>
      <c r="O62" s="91" t="s">
        <v>126</v>
      </c>
      <c r="P62" s="85"/>
      <c r="Q62" s="85">
        <v>3.08</v>
      </c>
      <c r="R62" s="86"/>
      <c r="S62" s="86"/>
    </row>
    <row r="63" spans="1:19">
      <c r="A63" s="85" t="s">
        <v>123</v>
      </c>
      <c r="B63" s="85">
        <v>324.25</v>
      </c>
      <c r="C63" s="85" t="s">
        <v>122</v>
      </c>
      <c r="D63" s="91" t="s">
        <v>127</v>
      </c>
      <c r="E63" s="85"/>
      <c r="F63" s="85"/>
      <c r="G63" s="85"/>
      <c r="H63" s="86"/>
      <c r="I63" s="86"/>
      <c r="J63" s="86"/>
      <c r="K63" s="85" t="s">
        <v>123</v>
      </c>
      <c r="L63" s="85">
        <v>324.25</v>
      </c>
      <c r="M63" s="85" t="s">
        <v>122</v>
      </c>
      <c r="N63" s="91" t="s">
        <v>127</v>
      </c>
      <c r="O63" s="85"/>
      <c r="P63" s="85"/>
      <c r="Q63" s="85"/>
      <c r="R63" s="86"/>
      <c r="S63" s="86"/>
    </row>
    <row r="67" spans="1:6">
      <c r="A67" s="82" t="s">
        <v>146</v>
      </c>
      <c r="B67" s="80"/>
    </row>
    <row r="68" spans="1:6">
      <c r="A68" s="82" t="s">
        <v>140</v>
      </c>
      <c r="B68" s="80"/>
    </row>
    <row r="69" spans="1:6">
      <c r="A69" s="93" t="s">
        <v>148</v>
      </c>
      <c r="B69" s="86">
        <f>'Industry ratios'!D9</f>
        <v>14.693200000000001</v>
      </c>
      <c r="C69" s="86"/>
      <c r="D69" s="86"/>
      <c r="E69" s="93" t="s">
        <v>148</v>
      </c>
      <c r="F69" s="86">
        <v>6.1050000000000004</v>
      </c>
    </row>
    <row r="70" spans="1:6">
      <c r="A70" s="93" t="s">
        <v>147</v>
      </c>
      <c r="B70" s="86">
        <f>B69*'RAMCO SYSTEMS LIMITED'!F11</f>
        <v>1867.3587880000002</v>
      </c>
      <c r="C70" s="86"/>
      <c r="D70" s="86"/>
      <c r="E70" s="93" t="s">
        <v>147</v>
      </c>
      <c r="F70" s="86">
        <f>F69*'RAMCO SYSTEMS LIMITED'!F11</f>
        <v>775.88445000000013</v>
      </c>
    </row>
    <row r="71" spans="1:6">
      <c r="A71" s="93" t="s">
        <v>151</v>
      </c>
      <c r="B71" s="86">
        <f>B70-I56+F46</f>
        <v>1858.8567880000003</v>
      </c>
      <c r="C71" s="86"/>
      <c r="D71" s="86"/>
      <c r="E71" s="93" t="s">
        <v>151</v>
      </c>
      <c r="F71" s="86">
        <f>F70-B37+F46</f>
        <v>706.58445000000017</v>
      </c>
    </row>
    <row r="72" spans="1:6">
      <c r="A72" s="93" t="s">
        <v>152</v>
      </c>
      <c r="B72" s="86">
        <f>B71/G62</f>
        <v>603.52493116883124</v>
      </c>
      <c r="C72" s="86"/>
      <c r="D72" s="86"/>
      <c r="E72" s="93" t="s">
        <v>152</v>
      </c>
      <c r="F72" s="86">
        <f>F71/G62</f>
        <v>229.41053571428577</v>
      </c>
    </row>
    <row r="73" spans="1:6">
      <c r="A73" s="93" t="s">
        <v>123</v>
      </c>
      <c r="B73" s="86">
        <v>324.25</v>
      </c>
      <c r="C73" s="86"/>
      <c r="D73" s="86"/>
      <c r="E73" s="93" t="s">
        <v>123</v>
      </c>
      <c r="F73" s="86">
        <v>324.25</v>
      </c>
    </row>
    <row r="76" spans="1:6">
      <c r="A76" s="82" t="s">
        <v>146</v>
      </c>
      <c r="B76" s="80"/>
    </row>
    <row r="77" spans="1:6">
      <c r="A77" s="82" t="s">
        <v>153</v>
      </c>
      <c r="B77" s="80"/>
    </row>
    <row r="78" spans="1:6">
      <c r="A78" s="93" t="s">
        <v>163</v>
      </c>
      <c r="B78" s="86">
        <v>-25.21</v>
      </c>
      <c r="C78" s="86"/>
      <c r="D78" s="86"/>
      <c r="E78" s="93" t="s">
        <v>163</v>
      </c>
      <c r="F78" s="86">
        <v>35.951999999999998</v>
      </c>
    </row>
    <row r="79" spans="1:6">
      <c r="A79" s="93" t="s">
        <v>154</v>
      </c>
      <c r="B79" s="86">
        <v>-12.86</v>
      </c>
      <c r="C79" s="86"/>
      <c r="D79" s="86"/>
      <c r="E79" s="93" t="s">
        <v>154</v>
      </c>
      <c r="F79" s="86">
        <v>12</v>
      </c>
    </row>
    <row r="80" spans="1:6">
      <c r="A80" s="93" t="s">
        <v>155</v>
      </c>
      <c r="B80" s="86">
        <f>B78*B79</f>
        <v>324.20060000000001</v>
      </c>
      <c r="C80" s="86"/>
      <c r="D80" s="86"/>
      <c r="E80" s="93" t="s">
        <v>155</v>
      </c>
      <c r="F80" s="86">
        <f>F78*F79</f>
        <v>431.42399999999998</v>
      </c>
    </row>
    <row r="81" spans="1:6">
      <c r="A81" s="93" t="s">
        <v>123</v>
      </c>
      <c r="B81" s="86">
        <v>324.25</v>
      </c>
      <c r="C81" s="86"/>
      <c r="D81" s="86"/>
      <c r="E81" s="93" t="s">
        <v>123</v>
      </c>
      <c r="F81" s="86">
        <v>324.25</v>
      </c>
    </row>
    <row r="85" spans="1:6">
      <c r="A85" s="77" t="s">
        <v>156</v>
      </c>
      <c r="B85" s="80"/>
    </row>
    <row r="86" spans="1:6">
      <c r="A86" s="77" t="s">
        <v>157</v>
      </c>
      <c r="B86" s="80"/>
    </row>
    <row r="87" spans="1:6">
      <c r="A87" s="86" t="s">
        <v>158</v>
      </c>
      <c r="B87" s="86">
        <f>'Industry ratios'!H9</f>
        <v>2.2650000000000001</v>
      </c>
      <c r="C87" s="86"/>
      <c r="D87" s="86"/>
      <c r="E87" s="86" t="s">
        <v>158</v>
      </c>
      <c r="F87" s="86">
        <f>1.09</f>
        <v>1.0900000000000001</v>
      </c>
    </row>
    <row r="88" spans="1:6">
      <c r="A88" s="86" t="s">
        <v>159</v>
      </c>
      <c r="B88" s="94">
        <v>-17.73</v>
      </c>
      <c r="C88" s="86"/>
      <c r="D88" s="86"/>
      <c r="E88" s="86" t="s">
        <v>159</v>
      </c>
      <c r="F88" s="94">
        <v>-17.73</v>
      </c>
    </row>
    <row r="89" spans="1:6">
      <c r="A89" s="86" t="s">
        <v>160</v>
      </c>
      <c r="B89" s="86">
        <f>B87*B88</f>
        <v>-40.158450000000002</v>
      </c>
      <c r="C89" s="86"/>
      <c r="D89" s="86"/>
      <c r="E89" s="86" t="s">
        <v>160</v>
      </c>
      <c r="F89" s="86">
        <f>F87*F88</f>
        <v>-19.325700000000001</v>
      </c>
    </row>
    <row r="90" spans="1:6">
      <c r="A90" s="93" t="s">
        <v>154</v>
      </c>
      <c r="B90" s="86">
        <v>-12.86</v>
      </c>
      <c r="C90" s="86"/>
      <c r="D90" s="86"/>
      <c r="E90" s="93" t="s">
        <v>154</v>
      </c>
      <c r="F90" s="86">
        <v>-12.86</v>
      </c>
    </row>
    <row r="91" spans="1:6">
      <c r="A91" s="93" t="s">
        <v>155</v>
      </c>
      <c r="B91" s="86">
        <f>B89*B90</f>
        <v>516.43766700000003</v>
      </c>
      <c r="C91" s="86"/>
      <c r="D91" s="86"/>
      <c r="E91" s="93" t="s">
        <v>155</v>
      </c>
      <c r="F91" s="86">
        <f>F89*F90</f>
        <v>248.528502</v>
      </c>
    </row>
    <row r="92" spans="1:6">
      <c r="A92" s="93" t="s">
        <v>123</v>
      </c>
      <c r="B92" s="86">
        <v>324.25</v>
      </c>
      <c r="C92" s="86"/>
      <c r="D92" s="86"/>
      <c r="E92" s="93" t="s">
        <v>123</v>
      </c>
      <c r="F92" s="86">
        <v>324.25</v>
      </c>
    </row>
    <row r="96" spans="1:6">
      <c r="A96" s="82" t="s">
        <v>146</v>
      </c>
      <c r="B96" s="80"/>
    </row>
    <row r="97" spans="1:6">
      <c r="A97" s="82" t="s">
        <v>161</v>
      </c>
      <c r="B97" s="80"/>
    </row>
    <row r="98" spans="1:6">
      <c r="A98" s="93" t="s">
        <v>148</v>
      </c>
      <c r="B98" s="86">
        <f>'Industry ratios'!J9</f>
        <v>8.3279999999999994</v>
      </c>
      <c r="C98" s="86"/>
      <c r="D98" s="86"/>
      <c r="E98" s="93" t="s">
        <v>148</v>
      </c>
      <c r="F98" s="86">
        <f>1.69</f>
        <v>1.69</v>
      </c>
    </row>
    <row r="99" spans="1:6">
      <c r="A99" s="93" t="s">
        <v>147</v>
      </c>
      <c r="B99" s="86">
        <f>B98*'RAMCO SYSTEMS LIMITED'!F10</f>
        <v>2702.4359999999997</v>
      </c>
      <c r="C99" s="86"/>
      <c r="D99" s="86"/>
      <c r="E99" s="93" t="s">
        <v>147</v>
      </c>
      <c r="F99" s="86">
        <f>F98*'RAMCO SYSTEMS LIMITED'!F10</f>
        <v>548.40499999999997</v>
      </c>
    </row>
    <row r="100" spans="1:6">
      <c r="A100" s="93" t="s">
        <v>151</v>
      </c>
      <c r="B100" s="86">
        <f>B99-B37</f>
        <v>2622.1359999999995</v>
      </c>
      <c r="C100" s="86"/>
      <c r="D100" s="86"/>
      <c r="E100" s="93" t="s">
        <v>151</v>
      </c>
      <c r="F100" s="86">
        <f>F99-F37</f>
        <v>548.40499999999997</v>
      </c>
    </row>
    <row r="101" spans="1:6">
      <c r="A101" s="93" t="s">
        <v>152</v>
      </c>
      <c r="B101" s="86">
        <f>B100/G62</f>
        <v>851.34285714285693</v>
      </c>
      <c r="C101" s="86"/>
      <c r="D101" s="86"/>
      <c r="E101" s="93" t="s">
        <v>152</v>
      </c>
      <c r="F101" s="86">
        <f>F100/G62</f>
        <v>178.05357142857142</v>
      </c>
    </row>
    <row r="102" spans="1:6">
      <c r="A102" s="93" t="s">
        <v>123</v>
      </c>
      <c r="B102" s="86">
        <v>324.25</v>
      </c>
      <c r="C102" s="86"/>
      <c r="D102" s="86"/>
      <c r="E102" s="93" t="s">
        <v>123</v>
      </c>
      <c r="F102" s="86">
        <v>324.25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J180"/>
  <sheetViews>
    <sheetView zoomScale="70" zoomScaleNormal="70" workbookViewId="0">
      <selection activeCell="B159" sqref="B159:J180"/>
    </sheetView>
  </sheetViews>
  <sheetFormatPr defaultColWidth="12.6640625" defaultRowHeight="15.7" customHeight="1"/>
  <cols>
    <col min="1" max="1" width="36.88671875" customWidth="1"/>
    <col min="8" max="8" width="20" customWidth="1"/>
    <col min="10" max="10" width="24.88671875" customWidth="1"/>
  </cols>
  <sheetData>
    <row r="1" spans="1:36" ht="13.85">
      <c r="A1" s="36"/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11</v>
      </c>
      <c r="N1" s="27" t="s">
        <v>12</v>
      </c>
      <c r="O1" s="27" t="s">
        <v>13</v>
      </c>
      <c r="P1" s="27" t="s">
        <v>14</v>
      </c>
      <c r="Q1" s="27" t="s">
        <v>15</v>
      </c>
      <c r="R1" s="27" t="s">
        <v>16</v>
      </c>
      <c r="S1" s="27" t="s">
        <v>17</v>
      </c>
      <c r="T1" s="27" t="s">
        <v>18</v>
      </c>
      <c r="U1" s="27" t="s">
        <v>19</v>
      </c>
      <c r="V1" s="27" t="s">
        <v>20</v>
      </c>
    </row>
    <row r="2" spans="1:36" ht="15.7" customHeight="1">
      <c r="A2" s="37" t="s">
        <v>86</v>
      </c>
      <c r="B2" s="38">
        <v>15</v>
      </c>
      <c r="C2" s="38">
        <v>43.03</v>
      </c>
      <c r="D2" s="38">
        <v>9.0500000000000007</v>
      </c>
      <c r="E2" s="38">
        <v>9.0299999999999994</v>
      </c>
      <c r="F2" s="38">
        <v>6.33</v>
      </c>
      <c r="G2" s="38">
        <v>5.55</v>
      </c>
      <c r="H2" s="38">
        <v>42.64</v>
      </c>
      <c r="I2" s="38">
        <v>0.02</v>
      </c>
      <c r="J2" s="38">
        <v>5.05</v>
      </c>
      <c r="K2" s="38">
        <v>22.7</v>
      </c>
      <c r="L2" s="38">
        <v>0.02</v>
      </c>
      <c r="M2" s="39"/>
      <c r="N2" s="38">
        <v>2.38</v>
      </c>
      <c r="O2" s="38">
        <v>6.11</v>
      </c>
      <c r="P2" s="38">
        <v>3.18</v>
      </c>
      <c r="Q2" s="38">
        <v>13.26</v>
      </c>
      <c r="R2" s="39"/>
      <c r="S2" s="38">
        <v>31.08</v>
      </c>
      <c r="T2" s="38">
        <v>8.14</v>
      </c>
      <c r="U2" s="38">
        <v>0.34</v>
      </c>
      <c r="V2" s="38">
        <v>31.08</v>
      </c>
    </row>
    <row r="3" spans="1:36" ht="15.7" customHeight="1">
      <c r="A3" s="37" t="s">
        <v>86</v>
      </c>
      <c r="B3" s="38">
        <v>16</v>
      </c>
      <c r="C3" s="38">
        <v>74.400000000000006</v>
      </c>
      <c r="D3" s="38">
        <v>17.37</v>
      </c>
      <c r="E3" s="38">
        <v>17.36</v>
      </c>
      <c r="F3" s="38">
        <v>14.69</v>
      </c>
      <c r="G3" s="38">
        <v>13.06</v>
      </c>
      <c r="H3" s="38">
        <v>73.849999999999994</v>
      </c>
      <c r="I3" s="38">
        <v>0.01</v>
      </c>
      <c r="J3" s="38">
        <v>5.05</v>
      </c>
      <c r="K3" s="38">
        <v>36.03</v>
      </c>
      <c r="L3" s="38">
        <v>7.0000000000000007E-2</v>
      </c>
      <c r="M3" s="39"/>
      <c r="N3" s="38">
        <v>4.83</v>
      </c>
      <c r="O3" s="38">
        <v>6.41</v>
      </c>
      <c r="P3" s="38">
        <v>8.7799999999999994</v>
      </c>
      <c r="Q3" s="38">
        <v>27.63</v>
      </c>
      <c r="R3" s="39"/>
      <c r="S3" s="38">
        <v>46.89</v>
      </c>
      <c r="T3" s="38">
        <v>14.95</v>
      </c>
      <c r="U3" s="38">
        <v>0.68</v>
      </c>
      <c r="V3" s="38">
        <v>46.89</v>
      </c>
    </row>
    <row r="4" spans="1:36" ht="15.7" customHeight="1">
      <c r="A4" s="37" t="s">
        <v>86</v>
      </c>
      <c r="B4" s="38">
        <v>17</v>
      </c>
      <c r="C4" s="38">
        <v>84.48</v>
      </c>
      <c r="D4" s="38">
        <v>15.73</v>
      </c>
      <c r="E4" s="38">
        <v>15.68</v>
      </c>
      <c r="F4" s="38">
        <v>12.79</v>
      </c>
      <c r="G4" s="38">
        <v>13.29</v>
      </c>
      <c r="H4" s="38">
        <v>83.35</v>
      </c>
      <c r="I4" s="38">
        <v>0.05</v>
      </c>
      <c r="J4" s="38">
        <v>17.670000000000002</v>
      </c>
      <c r="K4" s="38">
        <v>35.950000000000003</v>
      </c>
      <c r="L4" s="38">
        <v>0.18</v>
      </c>
      <c r="M4" s="38">
        <v>3.96</v>
      </c>
      <c r="N4" s="38">
        <v>7.32</v>
      </c>
      <c r="O4" s="38">
        <v>5.09</v>
      </c>
      <c r="P4" s="38">
        <v>13.86</v>
      </c>
      <c r="Q4" s="38">
        <v>32.82</v>
      </c>
      <c r="R4" s="38">
        <v>1.87</v>
      </c>
      <c r="S4" s="38">
        <v>62.59</v>
      </c>
      <c r="T4" s="38">
        <v>12.61</v>
      </c>
      <c r="U4" s="38">
        <v>0.35</v>
      </c>
      <c r="V4" s="38">
        <v>62.59</v>
      </c>
    </row>
    <row r="5" spans="1:36" ht="15.7" customHeight="1">
      <c r="A5" s="37" t="s">
        <v>86</v>
      </c>
      <c r="B5" s="38">
        <v>18</v>
      </c>
      <c r="C5" s="38">
        <v>97.48</v>
      </c>
      <c r="D5" s="38">
        <v>21.55</v>
      </c>
      <c r="E5" s="38">
        <v>21.52</v>
      </c>
      <c r="F5" s="38">
        <v>19.09</v>
      </c>
      <c r="G5" s="38">
        <v>16.73</v>
      </c>
      <c r="H5" s="38">
        <v>95.41</v>
      </c>
      <c r="I5" s="38">
        <v>0.03</v>
      </c>
      <c r="J5" s="38">
        <v>24.02</v>
      </c>
      <c r="K5" s="38">
        <v>81.790000000000006</v>
      </c>
      <c r="L5" s="38">
        <v>0.19</v>
      </c>
      <c r="M5" s="39"/>
      <c r="N5" s="38">
        <v>5.41</v>
      </c>
      <c r="O5" s="38">
        <v>7.12</v>
      </c>
      <c r="P5" s="38">
        <v>25.76</v>
      </c>
      <c r="Q5" s="38">
        <v>58.11</v>
      </c>
      <c r="R5" s="38">
        <v>1.81</v>
      </c>
      <c r="S5" s="38">
        <v>113.8</v>
      </c>
      <c r="T5" s="38">
        <v>19.86</v>
      </c>
      <c r="U5" s="38">
        <v>0.42</v>
      </c>
      <c r="V5" s="38">
        <v>113.8</v>
      </c>
    </row>
    <row r="6" spans="1:36" ht="15.7" customHeight="1">
      <c r="A6" s="37" t="s">
        <v>86</v>
      </c>
      <c r="B6" s="38">
        <v>19</v>
      </c>
      <c r="C6" s="38">
        <v>120.39</v>
      </c>
      <c r="D6" s="38">
        <v>24.49</v>
      </c>
      <c r="E6" s="38">
        <v>24.46</v>
      </c>
      <c r="F6" s="38">
        <v>21.39</v>
      </c>
      <c r="G6" s="38">
        <v>17.260000000000002</v>
      </c>
      <c r="H6" s="38">
        <v>115.52</v>
      </c>
      <c r="I6" s="38">
        <v>0.03</v>
      </c>
      <c r="J6" s="38">
        <v>24.02</v>
      </c>
      <c r="K6" s="38">
        <v>99.77</v>
      </c>
      <c r="L6" s="38">
        <v>0.12</v>
      </c>
      <c r="M6" s="39"/>
      <c r="N6" s="38">
        <v>6.07</v>
      </c>
      <c r="O6" s="38">
        <v>8.1199999999999992</v>
      </c>
      <c r="P6" s="38">
        <v>30.91</v>
      </c>
      <c r="Q6" s="38">
        <v>71.09</v>
      </c>
      <c r="R6" s="38">
        <v>0.48</v>
      </c>
      <c r="S6" s="38">
        <v>133.68</v>
      </c>
      <c r="T6" s="38">
        <v>21.93</v>
      </c>
      <c r="U6" s="38">
        <v>0.22</v>
      </c>
      <c r="V6" s="38">
        <v>133.68</v>
      </c>
    </row>
    <row r="7" spans="1:36" s="64" customFormat="1" ht="12.7">
      <c r="Z7" s="481"/>
      <c r="AA7" s="481"/>
      <c r="AB7" s="481"/>
      <c r="AC7" s="481"/>
      <c r="AD7" s="481"/>
      <c r="AE7" s="481"/>
      <c r="AF7" s="481"/>
      <c r="AG7" s="481"/>
      <c r="AH7" s="481"/>
      <c r="AI7" s="481"/>
      <c r="AJ7" s="481"/>
    </row>
    <row r="8" spans="1:36" ht="15.7" customHeight="1" thickBot="1">
      <c r="Q8" s="472"/>
      <c r="R8" s="472"/>
      <c r="S8" s="472"/>
      <c r="T8" s="472"/>
      <c r="U8" s="472"/>
      <c r="V8" s="472"/>
      <c r="W8" s="472"/>
      <c r="X8" s="472"/>
      <c r="Y8" s="472"/>
      <c r="Z8" s="472"/>
      <c r="AA8" s="472"/>
      <c r="AB8" s="472"/>
      <c r="AC8" s="472"/>
      <c r="AD8" s="472"/>
      <c r="AE8" s="472"/>
      <c r="AF8" s="472"/>
      <c r="AG8" s="472"/>
      <c r="AH8" s="472"/>
      <c r="AI8" s="472"/>
      <c r="AJ8" s="472"/>
    </row>
    <row r="9" spans="1:36" ht="15.7" customHeight="1" thickTop="1" thickBot="1">
      <c r="A9" s="21" t="s">
        <v>0</v>
      </c>
      <c r="B9" s="41">
        <v>15</v>
      </c>
      <c r="C9" s="41">
        <v>16</v>
      </c>
      <c r="D9" s="41">
        <v>17</v>
      </c>
      <c r="E9" s="41">
        <v>18</v>
      </c>
      <c r="F9" s="41">
        <v>19</v>
      </c>
      <c r="P9" s="5"/>
      <c r="Q9" s="459"/>
      <c r="R9" s="454" t="s">
        <v>21</v>
      </c>
      <c r="S9" s="455"/>
      <c r="T9" s="455"/>
      <c r="U9" s="456">
        <v>15</v>
      </c>
      <c r="V9" s="456">
        <v>16</v>
      </c>
      <c r="W9" s="456">
        <v>17</v>
      </c>
      <c r="X9" s="456">
        <v>18</v>
      </c>
      <c r="Y9" s="456">
        <v>19</v>
      </c>
      <c r="Z9" s="472"/>
      <c r="AA9" s="454" t="s">
        <v>21</v>
      </c>
      <c r="AB9" s="455"/>
      <c r="AC9" s="455"/>
      <c r="AD9" s="456">
        <v>15</v>
      </c>
      <c r="AE9" s="456">
        <v>16</v>
      </c>
      <c r="AF9" s="456">
        <v>17</v>
      </c>
      <c r="AG9" s="456">
        <v>18</v>
      </c>
      <c r="AH9" s="456">
        <v>19</v>
      </c>
      <c r="AI9" s="472"/>
      <c r="AJ9" s="472"/>
    </row>
    <row r="10" spans="1:36" ht="15.7" customHeight="1" thickTop="1" thickBot="1">
      <c r="A10" s="21" t="s">
        <v>1</v>
      </c>
      <c r="B10" s="41">
        <v>43.03</v>
      </c>
      <c r="C10" s="41">
        <v>74.400000000000006</v>
      </c>
      <c r="D10" s="41">
        <v>84.48</v>
      </c>
      <c r="E10" s="41">
        <v>97.48</v>
      </c>
      <c r="F10" s="41">
        <v>120.39</v>
      </c>
      <c r="P10" s="5"/>
      <c r="Q10" s="459"/>
      <c r="R10" s="509" t="s">
        <v>23</v>
      </c>
      <c r="S10" s="503"/>
      <c r="T10" s="503"/>
      <c r="U10" s="503"/>
      <c r="V10" s="503"/>
      <c r="W10" s="503"/>
      <c r="X10" s="503"/>
      <c r="Y10" s="504"/>
      <c r="Z10" s="472"/>
      <c r="AA10" s="509" t="s">
        <v>22</v>
      </c>
      <c r="AB10" s="503"/>
      <c r="AC10" s="503"/>
      <c r="AD10" s="503"/>
      <c r="AE10" s="503"/>
      <c r="AF10" s="503"/>
      <c r="AG10" s="503"/>
      <c r="AH10" s="504"/>
      <c r="AI10" s="472"/>
      <c r="AJ10" s="472"/>
    </row>
    <row r="11" spans="1:36" ht="15.7" customHeight="1" thickTop="1" thickBot="1">
      <c r="A11" s="21" t="s">
        <v>2</v>
      </c>
      <c r="B11" s="41">
        <v>9.0500000000000007</v>
      </c>
      <c r="C11" s="41">
        <v>17.37</v>
      </c>
      <c r="D11" s="41">
        <v>15.73</v>
      </c>
      <c r="E11" s="41">
        <v>21.55</v>
      </c>
      <c r="F11" s="41">
        <v>24.49</v>
      </c>
      <c r="P11" s="5"/>
      <c r="Q11" s="459"/>
      <c r="R11" s="396"/>
      <c r="S11" s="396"/>
      <c r="T11" s="396"/>
      <c r="U11" s="396"/>
      <c r="V11" s="396"/>
      <c r="W11" s="396"/>
      <c r="X11" s="396"/>
      <c r="Y11" s="396"/>
      <c r="Z11" s="472"/>
      <c r="AA11" s="506" t="s">
        <v>24</v>
      </c>
      <c r="AB11" s="503"/>
      <c r="AC11" s="504"/>
      <c r="AD11" s="396"/>
      <c r="AE11" s="396"/>
      <c r="AF11" s="396"/>
      <c r="AG11" s="396"/>
      <c r="AH11" s="396"/>
      <c r="AI11" s="472"/>
      <c r="AJ11" s="472"/>
    </row>
    <row r="12" spans="1:36" ht="15.7" customHeight="1" thickTop="1" thickBot="1">
      <c r="A12" s="21" t="s">
        <v>3</v>
      </c>
      <c r="B12" s="41">
        <v>9.0299999999999994</v>
      </c>
      <c r="C12" s="41">
        <v>17.36</v>
      </c>
      <c r="D12" s="41">
        <v>15.68</v>
      </c>
      <c r="E12" s="41">
        <v>21.52</v>
      </c>
      <c r="F12" s="41">
        <v>24.46</v>
      </c>
      <c r="P12" s="5"/>
      <c r="Q12" s="459"/>
      <c r="R12" s="457" t="s">
        <v>26</v>
      </c>
      <c r="S12" s="396"/>
      <c r="T12" s="396"/>
      <c r="U12" s="396"/>
      <c r="V12" s="396"/>
      <c r="W12" s="396"/>
      <c r="X12" s="396"/>
      <c r="Y12" s="396"/>
      <c r="Z12" s="472"/>
      <c r="AA12" s="508" t="s">
        <v>25</v>
      </c>
      <c r="AB12" s="504"/>
      <c r="AC12" s="396"/>
      <c r="AD12" s="399">
        <f>B10</f>
        <v>43.03</v>
      </c>
      <c r="AE12" s="399">
        <f>C10</f>
        <v>74.400000000000006</v>
      </c>
      <c r="AF12" s="399">
        <f>D10</f>
        <v>84.48</v>
      </c>
      <c r="AG12" s="399">
        <f>E10</f>
        <v>97.48</v>
      </c>
      <c r="AH12" s="399">
        <f>F10</f>
        <v>120.39</v>
      </c>
      <c r="AI12" s="472"/>
      <c r="AJ12" s="472"/>
    </row>
    <row r="13" spans="1:36" ht="15.7" customHeight="1" thickTop="1" thickBot="1">
      <c r="A13" s="21" t="s">
        <v>4</v>
      </c>
      <c r="B13" s="41">
        <v>6.33</v>
      </c>
      <c r="C13" s="41">
        <v>14.69</v>
      </c>
      <c r="D13" s="41">
        <v>12.79</v>
      </c>
      <c r="E13" s="41">
        <v>19.09</v>
      </c>
      <c r="F13" s="41">
        <v>21.39</v>
      </c>
      <c r="P13" s="5"/>
      <c r="Q13" s="459"/>
      <c r="R13" s="502" t="s">
        <v>28</v>
      </c>
      <c r="S13" s="503"/>
      <c r="T13" s="504"/>
      <c r="U13" s="399">
        <f t="shared" ref="U13:Y13" si="0">B22</f>
        <v>6.11</v>
      </c>
      <c r="V13" s="399">
        <f t="shared" si="0"/>
        <v>6.41</v>
      </c>
      <c r="W13" s="399">
        <f t="shared" si="0"/>
        <v>5.09</v>
      </c>
      <c r="X13" s="399">
        <f t="shared" si="0"/>
        <v>7.12</v>
      </c>
      <c r="Y13" s="399">
        <f t="shared" si="0"/>
        <v>8.1199999999999992</v>
      </c>
      <c r="Z13" s="472"/>
      <c r="AA13" s="396"/>
      <c r="AB13" s="506" t="s">
        <v>27</v>
      </c>
      <c r="AC13" s="504"/>
      <c r="AD13" s="399">
        <f>AD12-AD14</f>
        <v>0.39000000000000057</v>
      </c>
      <c r="AE13" s="399">
        <f>AE12-AE14</f>
        <v>0.55000000000001137</v>
      </c>
      <c r="AF13" s="399">
        <f>AF12-AF14</f>
        <v>1.1300000000000097</v>
      </c>
      <c r="AG13" s="399">
        <f>AG12-AG14</f>
        <v>2.0700000000000074</v>
      </c>
      <c r="AH13" s="399">
        <f>AH12-AH14</f>
        <v>4.8700000000000045</v>
      </c>
      <c r="AI13" s="472"/>
      <c r="AJ13" s="472"/>
    </row>
    <row r="14" spans="1:36" ht="15.7" customHeight="1" thickTop="1" thickBot="1">
      <c r="A14" s="21" t="s">
        <v>5</v>
      </c>
      <c r="B14" s="41">
        <v>5.55</v>
      </c>
      <c r="C14" s="41">
        <v>13.06</v>
      </c>
      <c r="D14" s="41">
        <v>13.29</v>
      </c>
      <c r="E14" s="41">
        <v>16.73</v>
      </c>
      <c r="F14" s="41">
        <v>17.260000000000002</v>
      </c>
      <c r="P14" s="5"/>
      <c r="Q14" s="459"/>
      <c r="R14" s="458" t="s">
        <v>30</v>
      </c>
      <c r="S14" s="396"/>
      <c r="T14" s="396"/>
      <c r="U14" s="400">
        <f>AD12/U13</f>
        <v>7.0425531914893611</v>
      </c>
      <c r="V14" s="400">
        <f>AE12/V13</f>
        <v>11.606864274570983</v>
      </c>
      <c r="W14" s="400">
        <f>AF12/W13</f>
        <v>16.597249508840864</v>
      </c>
      <c r="X14" s="400">
        <f>AG12/X13</f>
        <v>13.691011235955056</v>
      </c>
      <c r="Y14" s="400">
        <f>AH12/Y13</f>
        <v>14.826354679802957</v>
      </c>
      <c r="Z14" s="472"/>
      <c r="AA14" s="508" t="s">
        <v>29</v>
      </c>
      <c r="AB14" s="503"/>
      <c r="AC14" s="504"/>
      <c r="AD14" s="399">
        <f>B15</f>
        <v>42.64</v>
      </c>
      <c r="AE14" s="399">
        <f>C15</f>
        <v>73.849999999999994</v>
      </c>
      <c r="AF14" s="399">
        <f>D15</f>
        <v>83.35</v>
      </c>
      <c r="AG14" s="399">
        <f>E15</f>
        <v>95.41</v>
      </c>
      <c r="AH14" s="399">
        <f>F15</f>
        <v>115.52</v>
      </c>
      <c r="AI14" s="472"/>
      <c r="AJ14" s="472"/>
    </row>
    <row r="15" spans="1:36" ht="15.7" customHeight="1" thickTop="1" thickBot="1">
      <c r="A15" s="21" t="s">
        <v>6</v>
      </c>
      <c r="B15" s="41">
        <v>42.64</v>
      </c>
      <c r="C15" s="41">
        <v>73.849999999999994</v>
      </c>
      <c r="D15" s="41">
        <v>83.35</v>
      </c>
      <c r="E15" s="41">
        <v>95.41</v>
      </c>
      <c r="F15" s="41">
        <v>115.52</v>
      </c>
      <c r="P15" s="5"/>
      <c r="Q15" s="459"/>
      <c r="R15" s="502" t="s">
        <v>32</v>
      </c>
      <c r="S15" s="503"/>
      <c r="T15" s="504"/>
      <c r="U15" s="399">
        <f t="shared" ref="U15:Y15" si="1">B24</f>
        <v>13.26</v>
      </c>
      <c r="V15" s="399">
        <f t="shared" si="1"/>
        <v>27.63</v>
      </c>
      <c r="W15" s="399">
        <f t="shared" si="1"/>
        <v>32.82</v>
      </c>
      <c r="X15" s="399">
        <f t="shared" si="1"/>
        <v>58.11</v>
      </c>
      <c r="Y15" s="399">
        <f t="shared" si="1"/>
        <v>71.09</v>
      </c>
      <c r="Z15" s="472"/>
      <c r="AA15" s="396"/>
      <c r="AB15" s="506" t="s">
        <v>31</v>
      </c>
      <c r="AC15" s="504"/>
      <c r="AD15" s="399">
        <f>AD12-AD17</f>
        <v>33.590000000000003</v>
      </c>
      <c r="AE15" s="399">
        <f>AE12-AE17</f>
        <v>56.47999999999999</v>
      </c>
      <c r="AF15" s="399">
        <f>AF12-AF17</f>
        <v>67.61999999999999</v>
      </c>
      <c r="AG15" s="399">
        <f>AG12-AG17</f>
        <v>73.86</v>
      </c>
      <c r="AH15" s="399">
        <f>AH12-AH17</f>
        <v>91.03</v>
      </c>
      <c r="AI15" s="472"/>
      <c r="AJ15" s="472"/>
    </row>
    <row r="16" spans="1:36" ht="15.7" customHeight="1" thickTop="1" thickBot="1">
      <c r="A16" s="21" t="s">
        <v>7</v>
      </c>
      <c r="B16" s="41">
        <v>0.02</v>
      </c>
      <c r="C16" s="41">
        <v>0.01</v>
      </c>
      <c r="D16" s="41">
        <v>0.05</v>
      </c>
      <c r="E16" s="41">
        <v>0.03</v>
      </c>
      <c r="F16" s="41">
        <v>0.03</v>
      </c>
      <c r="P16" s="5"/>
      <c r="Q16" s="459"/>
      <c r="R16" s="502" t="s">
        <v>34</v>
      </c>
      <c r="S16" s="503"/>
      <c r="T16" s="504"/>
      <c r="U16" s="399">
        <f t="shared" ref="U16:Y16" si="2">B23</f>
        <v>3.18</v>
      </c>
      <c r="V16" s="399">
        <f t="shared" si="2"/>
        <v>8.7799999999999994</v>
      </c>
      <c r="W16" s="399">
        <f t="shared" si="2"/>
        <v>13.86</v>
      </c>
      <c r="X16" s="399">
        <f t="shared" si="2"/>
        <v>25.76</v>
      </c>
      <c r="Y16" s="399">
        <f t="shared" si="2"/>
        <v>30.91</v>
      </c>
      <c r="Z16" s="472"/>
      <c r="AA16" s="396"/>
      <c r="AB16" s="506" t="s">
        <v>33</v>
      </c>
      <c r="AC16" s="504"/>
      <c r="AD16" s="400">
        <f>AD15/AD12</f>
        <v>0.78061817336741812</v>
      </c>
      <c r="AE16" s="400">
        <f>AE15/AE12</f>
        <v>0.75913978494623635</v>
      </c>
      <c r="AF16" s="400">
        <f>AF15/AF12</f>
        <v>0.80042613636363624</v>
      </c>
      <c r="AG16" s="400">
        <f>AG15/AG12</f>
        <v>0.75769388592531794</v>
      </c>
      <c r="AH16" s="400">
        <f>AH15/AH12</f>
        <v>0.75612592408007306</v>
      </c>
      <c r="AI16" s="472"/>
      <c r="AJ16" s="472"/>
    </row>
    <row r="17" spans="1:36" ht="15.7" customHeight="1" thickTop="1" thickBot="1">
      <c r="A17" s="21" t="s">
        <v>8</v>
      </c>
      <c r="B17" s="41">
        <v>5.05</v>
      </c>
      <c r="C17" s="41">
        <v>5.05</v>
      </c>
      <c r="D17" s="41">
        <v>17.670000000000002</v>
      </c>
      <c r="E17" s="41">
        <v>24.02</v>
      </c>
      <c r="F17" s="41">
        <v>24.02</v>
      </c>
      <c r="P17" s="5"/>
      <c r="Q17" s="459"/>
      <c r="R17" s="458" t="s">
        <v>36</v>
      </c>
      <c r="S17" s="396"/>
      <c r="T17" s="396"/>
      <c r="U17" s="400">
        <f t="shared" ref="U17:Y17" si="3">U16/U23</f>
        <v>0.10231660231660233</v>
      </c>
      <c r="V17" s="400">
        <f t="shared" si="3"/>
        <v>0.1872467477074003</v>
      </c>
      <c r="W17" s="400">
        <f t="shared" si="3"/>
        <v>0.22144112478031633</v>
      </c>
      <c r="X17" s="400">
        <f t="shared" si="3"/>
        <v>0.22636203866432339</v>
      </c>
      <c r="Y17" s="400">
        <f t="shared" si="3"/>
        <v>0.23122381807301015</v>
      </c>
      <c r="Z17" s="472"/>
      <c r="AA17" s="506" t="s">
        <v>35</v>
      </c>
      <c r="AB17" s="503"/>
      <c r="AC17" s="504"/>
      <c r="AD17" s="399">
        <f>AD19+AD13</f>
        <v>9.4400000000000013</v>
      </c>
      <c r="AE17" s="399">
        <f>AE19+AE13</f>
        <v>17.920000000000012</v>
      </c>
      <c r="AF17" s="399">
        <f>AF19+AF13</f>
        <v>16.86000000000001</v>
      </c>
      <c r="AG17" s="399">
        <f>AG19+AG13</f>
        <v>23.620000000000008</v>
      </c>
      <c r="AH17" s="399">
        <f>AH19+AH13</f>
        <v>29.360000000000003</v>
      </c>
      <c r="AI17" s="472"/>
      <c r="AJ17" s="472"/>
    </row>
    <row r="18" spans="1:36" ht="15.7" customHeight="1" thickTop="1" thickBot="1">
      <c r="A18" s="21" t="s">
        <v>9</v>
      </c>
      <c r="B18" s="41">
        <v>22.7</v>
      </c>
      <c r="C18" s="41">
        <v>36.03</v>
      </c>
      <c r="D18" s="41">
        <v>35.950000000000003</v>
      </c>
      <c r="E18" s="41">
        <v>81.790000000000006</v>
      </c>
      <c r="F18" s="41">
        <v>99.77</v>
      </c>
      <c r="P18" s="5"/>
      <c r="Q18" s="459"/>
      <c r="R18" s="502" t="s">
        <v>38</v>
      </c>
      <c r="S18" s="503"/>
      <c r="T18" s="504"/>
      <c r="U18" s="399">
        <f t="shared" ref="U18:Y18" si="4">B27</f>
        <v>8.14</v>
      </c>
      <c r="V18" s="399">
        <f t="shared" si="4"/>
        <v>14.95</v>
      </c>
      <c r="W18" s="399">
        <f t="shared" si="4"/>
        <v>12.61</v>
      </c>
      <c r="X18" s="399">
        <f t="shared" si="4"/>
        <v>19.86</v>
      </c>
      <c r="Y18" s="399">
        <f t="shared" si="4"/>
        <v>21.93</v>
      </c>
      <c r="Z18" s="472"/>
      <c r="AA18" s="396"/>
      <c r="AB18" s="506" t="s">
        <v>37</v>
      </c>
      <c r="AC18" s="504"/>
      <c r="AD18" s="400">
        <f>AD17/AD12</f>
        <v>0.21938182663258193</v>
      </c>
      <c r="AE18" s="400">
        <f>AE17/AE12</f>
        <v>0.24086021505376359</v>
      </c>
      <c r="AF18" s="400">
        <f>AF17/AF12</f>
        <v>0.19957386363636376</v>
      </c>
      <c r="AG18" s="400">
        <f>AG17/AG12</f>
        <v>0.24230611407468206</v>
      </c>
      <c r="AH18" s="400">
        <f>AH17/AH12</f>
        <v>0.24387407591992694</v>
      </c>
      <c r="AI18" s="472"/>
      <c r="AJ18" s="472"/>
    </row>
    <row r="19" spans="1:36" ht="15.7" customHeight="1" thickTop="1" thickBot="1">
      <c r="A19" s="21" t="s">
        <v>10</v>
      </c>
      <c r="B19" s="41">
        <v>0.02</v>
      </c>
      <c r="C19" s="41">
        <v>7.0000000000000007E-2</v>
      </c>
      <c r="D19" s="41">
        <v>0.18</v>
      </c>
      <c r="E19" s="41">
        <v>0.19</v>
      </c>
      <c r="F19" s="41">
        <v>0.12</v>
      </c>
      <c r="P19" s="5"/>
      <c r="Q19" s="459"/>
      <c r="R19" s="458" t="s">
        <v>40</v>
      </c>
      <c r="S19" s="396"/>
      <c r="T19" s="396"/>
      <c r="U19" s="400">
        <f>AD12/U18</f>
        <v>5.2862407862407856</v>
      </c>
      <c r="V19" s="400">
        <f>AE12/V18</f>
        <v>4.976588628762542</v>
      </c>
      <c r="W19" s="400">
        <f>AF12/W18</f>
        <v>6.6994448850118955</v>
      </c>
      <c r="X19" s="400">
        <f>AG12/X18</f>
        <v>4.9083585095669688</v>
      </c>
      <c r="Y19" s="400">
        <f>AH12/Y18</f>
        <v>5.4897400820793436</v>
      </c>
      <c r="Z19" s="472"/>
      <c r="AA19" s="508" t="s">
        <v>39</v>
      </c>
      <c r="AB19" s="504"/>
      <c r="AC19" s="396"/>
      <c r="AD19" s="399">
        <f>B11</f>
        <v>9.0500000000000007</v>
      </c>
      <c r="AE19" s="399">
        <f>C11</f>
        <v>17.37</v>
      </c>
      <c r="AF19" s="399">
        <f>D11</f>
        <v>15.73</v>
      </c>
      <c r="AG19" s="399">
        <f>E11</f>
        <v>21.55</v>
      </c>
      <c r="AH19" s="399">
        <f>F11</f>
        <v>24.49</v>
      </c>
      <c r="AI19" s="472"/>
      <c r="AJ19" s="472"/>
    </row>
    <row r="20" spans="1:36" ht="15.7" customHeight="1" thickTop="1" thickBot="1">
      <c r="A20" s="21" t="s">
        <v>11</v>
      </c>
      <c r="B20" s="42"/>
      <c r="C20" s="42"/>
      <c r="D20" s="41">
        <v>3.96</v>
      </c>
      <c r="E20" s="42"/>
      <c r="F20" s="42"/>
      <c r="P20" s="5"/>
      <c r="Q20" s="459"/>
      <c r="R20" s="502" t="s">
        <v>16</v>
      </c>
      <c r="S20" s="504"/>
      <c r="T20" s="396"/>
      <c r="U20" s="399"/>
      <c r="V20" s="399"/>
      <c r="W20" s="399"/>
      <c r="X20" s="399"/>
      <c r="Y20" s="399"/>
      <c r="Z20" s="472"/>
      <c r="AA20" s="396"/>
      <c r="AB20" s="506" t="s">
        <v>41</v>
      </c>
      <c r="AC20" s="504"/>
      <c r="AD20" s="400">
        <f>AD19/AD12</f>
        <v>0.2103183825238206</v>
      </c>
      <c r="AE20" s="400">
        <f>AE19/AE12</f>
        <v>0.23346774193548386</v>
      </c>
      <c r="AF20" s="400">
        <f>AF19/AF12</f>
        <v>0.18619791666666666</v>
      </c>
      <c r="AG20" s="400">
        <f>AG19/AG12</f>
        <v>0.22107098892080426</v>
      </c>
      <c r="AH20" s="400">
        <f>AH19/AH12</f>
        <v>0.20342221114710524</v>
      </c>
      <c r="AI20" s="472"/>
      <c r="AJ20" s="472"/>
    </row>
    <row r="21" spans="1:36" ht="15.7" customHeight="1" thickTop="1" thickBot="1">
      <c r="A21" s="21" t="s">
        <v>12</v>
      </c>
      <c r="B21" s="41">
        <v>2.38</v>
      </c>
      <c r="C21" s="41">
        <v>4.83</v>
      </c>
      <c r="D21" s="41">
        <v>7.32</v>
      </c>
      <c r="E21" s="41">
        <v>5.41</v>
      </c>
      <c r="F21" s="41">
        <v>6.07</v>
      </c>
      <c r="P21" s="5"/>
      <c r="Q21" s="459"/>
      <c r="R21" s="458" t="s">
        <v>43</v>
      </c>
      <c r="S21" s="396"/>
      <c r="T21" s="396"/>
      <c r="U21" s="400"/>
      <c r="V21" s="400"/>
      <c r="W21" s="400"/>
      <c r="X21" s="400"/>
      <c r="Y21" s="400"/>
      <c r="Z21" s="472"/>
      <c r="AA21" s="396"/>
      <c r="AB21" s="506" t="s">
        <v>42</v>
      </c>
      <c r="AC21" s="504"/>
      <c r="AD21" s="399">
        <f>AD19-AD22-AD26</f>
        <v>1.3496148643099559E-15</v>
      </c>
      <c r="AE21" s="399">
        <f>AE19-AE22-AE26</f>
        <v>1.5629858518551032E-15</v>
      </c>
      <c r="AF21" s="399">
        <f>AF19-AF22-AF26</f>
        <v>7.0776717819853729E-16</v>
      </c>
      <c r="AG21" s="399">
        <f>AG19-AG22-AG26</f>
        <v>1.1379786002407855E-15</v>
      </c>
      <c r="AH21" s="399">
        <f>AH19-AH22-AH26</f>
        <v>-2.4147350785597155E-15</v>
      </c>
      <c r="AI21" s="472"/>
      <c r="AJ21" s="472"/>
    </row>
    <row r="22" spans="1:36" ht="15.7" customHeight="1" thickTop="1" thickBot="1">
      <c r="A22" s="21" t="s">
        <v>13</v>
      </c>
      <c r="B22" s="41">
        <v>6.11</v>
      </c>
      <c r="C22" s="41">
        <v>6.41</v>
      </c>
      <c r="D22" s="41">
        <v>5.09</v>
      </c>
      <c r="E22" s="41">
        <v>7.12</v>
      </c>
      <c r="F22" s="41">
        <v>8.1199999999999992</v>
      </c>
      <c r="P22" s="5"/>
      <c r="Q22" s="459"/>
      <c r="R22" s="396"/>
      <c r="S22" s="396"/>
      <c r="T22" s="396"/>
      <c r="U22" s="396"/>
      <c r="V22" s="396"/>
      <c r="W22" s="396"/>
      <c r="X22" s="396"/>
      <c r="Y22" s="396"/>
      <c r="Z22" s="472"/>
      <c r="AA22" s="508" t="s">
        <v>44</v>
      </c>
      <c r="AB22" s="504"/>
      <c r="AC22" s="396"/>
      <c r="AD22" s="399">
        <f>B12</f>
        <v>9.0299999999999994</v>
      </c>
      <c r="AE22" s="399">
        <f>C12</f>
        <v>17.36</v>
      </c>
      <c r="AF22" s="399">
        <f>D12</f>
        <v>15.68</v>
      </c>
      <c r="AG22" s="399">
        <f>E12</f>
        <v>21.52</v>
      </c>
      <c r="AH22" s="399">
        <f>F12</f>
        <v>24.46</v>
      </c>
      <c r="AI22" s="472"/>
      <c r="AJ22" s="472"/>
    </row>
    <row r="23" spans="1:36" ht="15.7" customHeight="1" thickTop="1" thickBot="1">
      <c r="A23" s="21" t="s">
        <v>14</v>
      </c>
      <c r="B23" s="41">
        <v>3.18</v>
      </c>
      <c r="C23" s="41">
        <v>8.7799999999999994</v>
      </c>
      <c r="D23" s="41">
        <v>13.86</v>
      </c>
      <c r="E23" s="41">
        <v>25.76</v>
      </c>
      <c r="F23" s="41">
        <v>30.91</v>
      </c>
      <c r="P23" s="5"/>
      <c r="Q23" s="459"/>
      <c r="R23" s="502" t="s">
        <v>46</v>
      </c>
      <c r="S23" s="504"/>
      <c r="T23" s="396"/>
      <c r="U23" s="399">
        <f t="shared" ref="U23:Y23" si="5">B26</f>
        <v>31.08</v>
      </c>
      <c r="V23" s="399">
        <f t="shared" si="5"/>
        <v>46.89</v>
      </c>
      <c r="W23" s="399">
        <f t="shared" si="5"/>
        <v>62.59</v>
      </c>
      <c r="X23" s="399">
        <f t="shared" si="5"/>
        <v>113.8</v>
      </c>
      <c r="Y23" s="399">
        <f t="shared" si="5"/>
        <v>133.68</v>
      </c>
      <c r="Z23" s="472"/>
      <c r="AA23" s="396"/>
      <c r="AB23" s="506" t="s">
        <v>45</v>
      </c>
      <c r="AC23" s="504"/>
      <c r="AD23" s="399">
        <f>AD19-AD21-AD24</f>
        <v>2.6999999999999993</v>
      </c>
      <c r="AE23" s="399">
        <f>AE19-AE21-AE24</f>
        <v>2.6700000000000017</v>
      </c>
      <c r="AF23" s="399">
        <f>AF19-AF21-AF24</f>
        <v>2.8900000000000006</v>
      </c>
      <c r="AG23" s="399">
        <f>AG19-AG21-AG24</f>
        <v>2.4299999999999997</v>
      </c>
      <c r="AH23" s="399">
        <f>AH19-AH21-AH24</f>
        <v>3.0700000000000003</v>
      </c>
      <c r="AI23" s="472"/>
      <c r="AJ23" s="472"/>
    </row>
    <row r="24" spans="1:36" ht="15.7" customHeight="1" thickTop="1" thickBot="1">
      <c r="A24" s="21" t="s">
        <v>15</v>
      </c>
      <c r="B24" s="41">
        <v>13.26</v>
      </c>
      <c r="C24" s="41">
        <v>27.63</v>
      </c>
      <c r="D24" s="41">
        <v>32.82</v>
      </c>
      <c r="E24" s="41">
        <v>58.11</v>
      </c>
      <c r="F24" s="41">
        <v>71.09</v>
      </c>
      <c r="P24" s="5"/>
      <c r="Q24" s="459"/>
      <c r="R24" s="396"/>
      <c r="S24" s="396"/>
      <c r="T24" s="396"/>
      <c r="U24" s="396"/>
      <c r="V24" s="396"/>
      <c r="W24" s="396"/>
      <c r="X24" s="396"/>
      <c r="Y24" s="396"/>
      <c r="Z24" s="472"/>
      <c r="AA24" s="506" t="s">
        <v>47</v>
      </c>
      <c r="AB24" s="504"/>
      <c r="AC24" s="396"/>
      <c r="AD24" s="399">
        <f>AD26+AD27</f>
        <v>6.35</v>
      </c>
      <c r="AE24" s="399">
        <f>AE26+AE27</f>
        <v>14.7</v>
      </c>
      <c r="AF24" s="399">
        <f>AF26+AF27</f>
        <v>12.84</v>
      </c>
      <c r="AG24" s="399">
        <f>AG26+AG27</f>
        <v>19.12</v>
      </c>
      <c r="AH24" s="399">
        <f>AH26+AH27</f>
        <v>21.42</v>
      </c>
      <c r="AI24" s="472"/>
      <c r="AJ24" s="472"/>
    </row>
    <row r="25" spans="1:36" ht="15.7" customHeight="1" thickTop="1" thickBot="1">
      <c r="A25" s="21" t="s">
        <v>16</v>
      </c>
      <c r="B25" s="42"/>
      <c r="C25" s="42"/>
      <c r="D25" s="41">
        <v>1.87</v>
      </c>
      <c r="E25" s="41">
        <v>1.81</v>
      </c>
      <c r="F25" s="41">
        <v>0.48</v>
      </c>
      <c r="P25" s="5"/>
      <c r="Q25" s="459"/>
      <c r="R25" s="505" t="s">
        <v>49</v>
      </c>
      <c r="S25" s="503"/>
      <c r="T25" s="504"/>
      <c r="U25" s="396"/>
      <c r="V25" s="396"/>
      <c r="W25" s="396"/>
      <c r="X25" s="396"/>
      <c r="Y25" s="396"/>
      <c r="Z25" s="472"/>
      <c r="AA25" s="396"/>
      <c r="AB25" s="506" t="s">
        <v>48</v>
      </c>
      <c r="AC25" s="504"/>
      <c r="AD25" s="400">
        <f>AD24/AD12</f>
        <v>0.14757146177085753</v>
      </c>
      <c r="AE25" s="400">
        <f>AE24/AE12</f>
        <v>0.19758064516129029</v>
      </c>
      <c r="AF25" s="400">
        <f>AF24/AF12</f>
        <v>0.15198863636363635</v>
      </c>
      <c r="AG25" s="400">
        <f>AG24/AG12</f>
        <v>0.19614279852277391</v>
      </c>
      <c r="AH25" s="400">
        <f>AH24/AH12</f>
        <v>0.1779217542985298</v>
      </c>
      <c r="AI25" s="472"/>
      <c r="AJ25" s="472"/>
    </row>
    <row r="26" spans="1:36" ht="17.3" thickTop="1" thickBot="1">
      <c r="A26" s="21" t="s">
        <v>17</v>
      </c>
      <c r="B26" s="41">
        <v>31.08</v>
      </c>
      <c r="C26" s="41">
        <v>46.89</v>
      </c>
      <c r="D26" s="41">
        <v>62.59</v>
      </c>
      <c r="E26" s="41">
        <v>113.8</v>
      </c>
      <c r="F26" s="41">
        <v>133.68</v>
      </c>
      <c r="P26" s="5"/>
      <c r="Q26" s="459"/>
      <c r="R26" s="502" t="s">
        <v>51</v>
      </c>
      <c r="S26" s="503"/>
      <c r="T26" s="504"/>
      <c r="U26" s="399">
        <f t="shared" ref="U26:Y26" si="6">B21</f>
        <v>2.38</v>
      </c>
      <c r="V26" s="399">
        <f t="shared" si="6"/>
        <v>4.83</v>
      </c>
      <c r="W26" s="399">
        <f t="shared" si="6"/>
        <v>7.32</v>
      </c>
      <c r="X26" s="399">
        <f t="shared" si="6"/>
        <v>5.41</v>
      </c>
      <c r="Y26" s="399">
        <f t="shared" si="6"/>
        <v>6.07</v>
      </c>
      <c r="Z26" s="472"/>
      <c r="AA26" s="508" t="s">
        <v>50</v>
      </c>
      <c r="AB26" s="504"/>
      <c r="AC26" s="396"/>
      <c r="AD26" s="399">
        <f>B16</f>
        <v>0.02</v>
      </c>
      <c r="AE26" s="399">
        <f>C16</f>
        <v>0.01</v>
      </c>
      <c r="AF26" s="399">
        <f>D16</f>
        <v>0.05</v>
      </c>
      <c r="AG26" s="399">
        <f>E16</f>
        <v>0.03</v>
      </c>
      <c r="AH26" s="399">
        <f>F16</f>
        <v>0.03</v>
      </c>
      <c r="AI26" s="472"/>
      <c r="AJ26" s="472"/>
    </row>
    <row r="27" spans="1:36" ht="16.7" thickTop="1" thickBot="1">
      <c r="A27" s="21" t="s">
        <v>18</v>
      </c>
      <c r="B27" s="41">
        <v>8.14</v>
      </c>
      <c r="C27" s="41">
        <v>14.95</v>
      </c>
      <c r="D27" s="41">
        <v>12.61</v>
      </c>
      <c r="E27" s="41">
        <v>19.86</v>
      </c>
      <c r="F27" s="41">
        <v>21.93</v>
      </c>
      <c r="P27" s="5"/>
      <c r="Q27" s="459"/>
      <c r="R27" s="458" t="s">
        <v>53</v>
      </c>
      <c r="S27" s="396"/>
      <c r="T27" s="396"/>
      <c r="U27" s="400">
        <f>AD15/U26</f>
        <v>14.113445378151262</v>
      </c>
      <c r="V27" s="400">
        <f>AE15/V26</f>
        <v>11.693581780538301</v>
      </c>
      <c r="W27" s="400">
        <f>AF15/W26</f>
        <v>9.2377049180327848</v>
      </c>
      <c r="X27" s="400">
        <f>AG15/X26</f>
        <v>13.652495378927911</v>
      </c>
      <c r="Y27" s="400">
        <f>AH15/Y26</f>
        <v>14.996705107084018</v>
      </c>
      <c r="Z27" s="472"/>
      <c r="AA27" s="482" t="s">
        <v>52</v>
      </c>
      <c r="AB27" s="396"/>
      <c r="AC27" s="396"/>
      <c r="AD27" s="399">
        <f>B13</f>
        <v>6.33</v>
      </c>
      <c r="AE27" s="399">
        <f>C13</f>
        <v>14.69</v>
      </c>
      <c r="AF27" s="399">
        <f>D13</f>
        <v>12.79</v>
      </c>
      <c r="AG27" s="399">
        <f>E13</f>
        <v>19.09</v>
      </c>
      <c r="AH27" s="399">
        <f>F13</f>
        <v>21.39</v>
      </c>
      <c r="AI27" s="472"/>
      <c r="AJ27" s="472"/>
    </row>
    <row r="28" spans="1:36" ht="17.3" thickTop="1" thickBot="1">
      <c r="A28" s="21" t="s">
        <v>19</v>
      </c>
      <c r="B28" s="41">
        <v>0.34</v>
      </c>
      <c r="C28" s="41">
        <v>0.68</v>
      </c>
      <c r="D28" s="41">
        <v>0.35</v>
      </c>
      <c r="E28" s="41">
        <v>0.42</v>
      </c>
      <c r="F28" s="41">
        <v>0.22</v>
      </c>
      <c r="P28" s="5"/>
      <c r="Q28" s="459"/>
      <c r="R28" s="502" t="s">
        <v>19</v>
      </c>
      <c r="S28" s="504"/>
      <c r="T28" s="396"/>
      <c r="U28" s="399">
        <f t="shared" ref="U28:Y28" si="7">B28</f>
        <v>0.34</v>
      </c>
      <c r="V28" s="399">
        <f t="shared" si="7"/>
        <v>0.68</v>
      </c>
      <c r="W28" s="399">
        <f t="shared" si="7"/>
        <v>0.35</v>
      </c>
      <c r="X28" s="399">
        <f t="shared" si="7"/>
        <v>0.42</v>
      </c>
      <c r="Y28" s="399">
        <f t="shared" si="7"/>
        <v>0.22</v>
      </c>
      <c r="Z28" s="472"/>
      <c r="AA28" s="396"/>
      <c r="AB28" s="506" t="s">
        <v>54</v>
      </c>
      <c r="AC28" s="504"/>
      <c r="AD28" s="400">
        <f>AD27/AD12</f>
        <v>0.14710666976528003</v>
      </c>
      <c r="AE28" s="400">
        <f>AE27/AE12</f>
        <v>0.19744623655913976</v>
      </c>
      <c r="AF28" s="400">
        <f>AF27/AF12</f>
        <v>0.15139678030303028</v>
      </c>
      <c r="AG28" s="400">
        <f>AG27/AG12</f>
        <v>0.19583504308576116</v>
      </c>
      <c r="AH28" s="400">
        <f>AH27/AH12</f>
        <v>0.17767256416645902</v>
      </c>
      <c r="AI28" s="472"/>
      <c r="AJ28" s="472"/>
    </row>
    <row r="29" spans="1:36" ht="17.3" thickTop="1" thickBot="1">
      <c r="A29" s="415" t="s">
        <v>20</v>
      </c>
      <c r="B29" s="416">
        <v>31.08</v>
      </c>
      <c r="C29" s="416">
        <v>46.89</v>
      </c>
      <c r="D29" s="416">
        <v>62.59</v>
      </c>
      <c r="E29" s="416">
        <v>113.8</v>
      </c>
      <c r="F29" s="416">
        <v>133.68</v>
      </c>
      <c r="P29" s="5"/>
      <c r="Q29" s="459"/>
      <c r="R29" s="502" t="s">
        <v>56</v>
      </c>
      <c r="S29" s="503"/>
      <c r="T29" s="504"/>
      <c r="U29" s="399">
        <f t="shared" ref="U29:Y29" si="8">B19</f>
        <v>0.02</v>
      </c>
      <c r="V29" s="399">
        <f t="shared" si="8"/>
        <v>7.0000000000000007E-2</v>
      </c>
      <c r="W29" s="399">
        <f t="shared" si="8"/>
        <v>0.18</v>
      </c>
      <c r="X29" s="399">
        <f t="shared" si="8"/>
        <v>0.19</v>
      </c>
      <c r="Y29" s="399">
        <f t="shared" si="8"/>
        <v>0.12</v>
      </c>
      <c r="Z29" s="472"/>
      <c r="AA29" s="396"/>
      <c r="AB29" s="483" t="s">
        <v>55</v>
      </c>
      <c r="AC29" s="396"/>
      <c r="AD29" s="399">
        <f>AD27-AD31</f>
        <v>0.78000000000000025</v>
      </c>
      <c r="AE29" s="399">
        <f>AE27-AE31</f>
        <v>1.629999999999999</v>
      </c>
      <c r="AF29" s="399">
        <f>AF27-AF31</f>
        <v>-0.5</v>
      </c>
      <c r="AG29" s="399">
        <f>AG27-AG31</f>
        <v>2.3599999999999994</v>
      </c>
      <c r="AH29" s="399">
        <f>AH27-AH31</f>
        <v>4.129999999999999</v>
      </c>
      <c r="AI29" s="472"/>
      <c r="AJ29" s="472"/>
    </row>
    <row r="30" spans="1:36" ht="16.7" thickTop="1" thickBot="1">
      <c r="A30" s="93" t="s">
        <v>45</v>
      </c>
      <c r="B30" s="86">
        <v>2.6999999999999993</v>
      </c>
      <c r="C30" s="86">
        <v>2.6700000000000017</v>
      </c>
      <c r="D30" s="86">
        <v>2.8900000000000006</v>
      </c>
      <c r="E30" s="86">
        <v>2.4299999999999997</v>
      </c>
      <c r="F30" s="86">
        <v>3.0700000000000003</v>
      </c>
      <c r="G30" s="86"/>
      <c r="H30" s="86"/>
      <c r="I30" s="86"/>
      <c r="J30" s="86"/>
      <c r="P30" s="5"/>
      <c r="Q30" s="459"/>
      <c r="R30" s="458" t="s">
        <v>58</v>
      </c>
      <c r="S30" s="396"/>
      <c r="T30" s="396"/>
      <c r="U30" s="400">
        <f t="shared" ref="U30:Y30" si="9">U29/U36</f>
        <v>6.4350064350064359E-4</v>
      </c>
      <c r="V30" s="400">
        <f t="shared" si="9"/>
        <v>1.4928556195350823E-3</v>
      </c>
      <c r="W30" s="400">
        <f t="shared" si="9"/>
        <v>2.8758587633807317E-3</v>
      </c>
      <c r="X30" s="400">
        <f t="shared" si="9"/>
        <v>1.6695957820738138E-3</v>
      </c>
      <c r="Y30" s="400">
        <f t="shared" si="9"/>
        <v>8.9766606822262111E-4</v>
      </c>
      <c r="Z30" s="472"/>
      <c r="AA30" s="396"/>
      <c r="AB30" s="506" t="s">
        <v>57</v>
      </c>
      <c r="AC30" s="504"/>
      <c r="AD30" s="400">
        <f>AD29/AD27</f>
        <v>0.12322274881516591</v>
      </c>
      <c r="AE30" s="400">
        <f>AE29/AE27</f>
        <v>0.11095983662355337</v>
      </c>
      <c r="AF30" s="400">
        <f>AF29/AF27</f>
        <v>-3.9093041438623931E-2</v>
      </c>
      <c r="AG30" s="400">
        <f>AG29/AG27</f>
        <v>0.12362493452069143</v>
      </c>
      <c r="AH30" s="400">
        <f>AH29/AH27</f>
        <v>0.19308087891538098</v>
      </c>
      <c r="AI30" s="472"/>
      <c r="AJ30" s="472"/>
    </row>
    <row r="31" spans="1:36" ht="17.3" thickTop="1" thickBot="1">
      <c r="A31" s="86"/>
      <c r="B31" s="86"/>
      <c r="C31" s="86"/>
      <c r="D31" s="86"/>
      <c r="E31" s="86"/>
      <c r="F31" s="86"/>
      <c r="G31" s="86"/>
      <c r="H31" s="86"/>
      <c r="I31" s="86"/>
      <c r="J31" s="86"/>
      <c r="P31" s="5"/>
      <c r="Q31" s="459"/>
      <c r="R31" s="502" t="s">
        <v>60</v>
      </c>
      <c r="S31" s="503"/>
      <c r="T31" s="504"/>
      <c r="U31" s="399">
        <f t="shared" ref="U31:Y31" si="10">B20</f>
        <v>0</v>
      </c>
      <c r="V31" s="399">
        <f t="shared" si="10"/>
        <v>0</v>
      </c>
      <c r="W31" s="399">
        <f t="shared" si="10"/>
        <v>3.96</v>
      </c>
      <c r="X31" s="399">
        <f t="shared" si="10"/>
        <v>0</v>
      </c>
      <c r="Y31" s="399">
        <f t="shared" si="10"/>
        <v>0</v>
      </c>
      <c r="Z31" s="472"/>
      <c r="AA31" s="482" t="s">
        <v>59</v>
      </c>
      <c r="AB31" s="396"/>
      <c r="AC31" s="396"/>
      <c r="AD31" s="399">
        <f>B14</f>
        <v>5.55</v>
      </c>
      <c r="AE31" s="399">
        <f>C14</f>
        <v>13.06</v>
      </c>
      <c r="AF31" s="399">
        <f>D14</f>
        <v>13.29</v>
      </c>
      <c r="AG31" s="399">
        <f>E14</f>
        <v>16.73</v>
      </c>
      <c r="AH31" s="399">
        <f>F14</f>
        <v>17.260000000000002</v>
      </c>
      <c r="AI31" s="472"/>
      <c r="AJ31" s="472"/>
    </row>
    <row r="32" spans="1:36" ht="17.3" thickTop="1" thickBot="1">
      <c r="A32" s="409" t="s">
        <v>88</v>
      </c>
      <c r="B32" s="86"/>
      <c r="C32" s="410">
        <f>(C10-B10)/B10</f>
        <v>0.72902626074831522</v>
      </c>
      <c r="D32" s="410">
        <f>(D10-C10)/C10</f>
        <v>0.13548387096774189</v>
      </c>
      <c r="E32" s="410">
        <f>(E10-D10)/D10</f>
        <v>0.15388257575757575</v>
      </c>
      <c r="F32" s="410">
        <f>(F10-E10)/E10</f>
        <v>0.23502256873204755</v>
      </c>
      <c r="G32" s="86"/>
      <c r="H32" s="93" t="s">
        <v>89</v>
      </c>
      <c r="I32" s="86"/>
      <c r="J32" s="395">
        <f>AVERAGE(C32:F32)</f>
        <v>0.31335381905142007</v>
      </c>
      <c r="P32" s="5"/>
      <c r="Q32" s="459"/>
      <c r="R32" s="502" t="s">
        <v>62</v>
      </c>
      <c r="S32" s="503"/>
      <c r="T32" s="504"/>
      <c r="U32" s="399">
        <f t="shared" ref="U32:Y32" si="11">B18</f>
        <v>22.7</v>
      </c>
      <c r="V32" s="399">
        <f t="shared" si="11"/>
        <v>36.03</v>
      </c>
      <c r="W32" s="399">
        <f t="shared" si="11"/>
        <v>35.950000000000003</v>
      </c>
      <c r="X32" s="399">
        <f t="shared" si="11"/>
        <v>81.790000000000006</v>
      </c>
      <c r="Y32" s="399">
        <f t="shared" si="11"/>
        <v>99.77</v>
      </c>
      <c r="Z32" s="472"/>
      <c r="AA32" s="396"/>
      <c r="AB32" s="506" t="s">
        <v>61</v>
      </c>
      <c r="AC32" s="504"/>
      <c r="AD32" s="400">
        <f>AD31/AD12</f>
        <v>0.12897978154775738</v>
      </c>
      <c r="AE32" s="400">
        <f>AE31/AE12</f>
        <v>0.17553763440860215</v>
      </c>
      <c r="AF32" s="400">
        <f>AF31/AF12</f>
        <v>0.15731534090909088</v>
      </c>
      <c r="AG32" s="400">
        <f>AG31/AG12</f>
        <v>0.17162494870742717</v>
      </c>
      <c r="AH32" s="400">
        <f>AH31/AH12</f>
        <v>0.14336738931804968</v>
      </c>
      <c r="AI32" s="472"/>
      <c r="AJ32" s="472"/>
    </row>
    <row r="33" spans="1:36" ht="16.7" thickTop="1" thickBot="1">
      <c r="A33" s="409" t="s">
        <v>90</v>
      </c>
      <c r="B33" s="410">
        <f>B11/B10</f>
        <v>0.2103183825238206</v>
      </c>
      <c r="C33" s="410">
        <f t="shared" ref="C33:E33" si="12">C11/C10</f>
        <v>0.23346774193548386</v>
      </c>
      <c r="D33" s="410">
        <f t="shared" si="12"/>
        <v>0.18619791666666666</v>
      </c>
      <c r="E33" s="410">
        <f t="shared" si="12"/>
        <v>0.22107098892080426</v>
      </c>
      <c r="F33" s="410">
        <f>F11/F10</f>
        <v>0.20342221114710524</v>
      </c>
      <c r="G33" s="86"/>
      <c r="H33" s="411" t="s">
        <v>90</v>
      </c>
      <c r="I33" s="411"/>
      <c r="J33" s="412">
        <f>AVERAGE(B33:F33)</f>
        <v>0.2108954482387761</v>
      </c>
      <c r="K33" s="5"/>
      <c r="L33" s="5"/>
      <c r="M33" s="5"/>
      <c r="N33" s="5"/>
      <c r="O33" s="5"/>
      <c r="P33" s="5"/>
      <c r="Q33" s="459"/>
      <c r="R33" s="458" t="s">
        <v>63</v>
      </c>
      <c r="S33" s="396"/>
      <c r="T33" s="396"/>
      <c r="U33" s="400">
        <f t="shared" ref="U33:Y33" si="13">U32/U36</f>
        <v>0.73037323037323043</v>
      </c>
      <c r="V33" s="400">
        <f t="shared" si="13"/>
        <v>0.76839411388355727</v>
      </c>
      <c r="W33" s="400">
        <f t="shared" si="13"/>
        <v>0.57437290301965171</v>
      </c>
      <c r="X33" s="400">
        <f t="shared" si="13"/>
        <v>0.71871704745166964</v>
      </c>
      <c r="Y33" s="400">
        <f t="shared" si="13"/>
        <v>0.74633453022142426</v>
      </c>
      <c r="Z33" s="472"/>
      <c r="AA33" s="472"/>
      <c r="AB33" s="472"/>
      <c r="AC33" s="472"/>
      <c r="AD33" s="472"/>
      <c r="AE33" s="472"/>
      <c r="AF33" s="472"/>
      <c r="AG33" s="472"/>
      <c r="AH33" s="472"/>
      <c r="AI33" s="472"/>
      <c r="AJ33" s="472"/>
    </row>
    <row r="34" spans="1:36" ht="17.3" thickTop="1" thickBot="1">
      <c r="A34" s="409" t="s">
        <v>91</v>
      </c>
      <c r="B34" s="86"/>
      <c r="C34" s="410">
        <f>C30/C22</f>
        <v>0.4165366614664589</v>
      </c>
      <c r="D34" s="410">
        <f t="shared" ref="D34:F34" si="14">D30/D22</f>
        <v>0.56777996070726933</v>
      </c>
      <c r="E34" s="410">
        <f t="shared" si="14"/>
        <v>0.34129213483146065</v>
      </c>
      <c r="F34" s="410">
        <f t="shared" si="14"/>
        <v>0.37807881773399021</v>
      </c>
      <c r="G34" s="86"/>
      <c r="H34" s="409" t="s">
        <v>91</v>
      </c>
      <c r="I34" s="411"/>
      <c r="J34" s="412">
        <f>AVERAGE(C34:F34)</f>
        <v>0.42592189368479477</v>
      </c>
      <c r="K34" s="5"/>
      <c r="L34" s="5"/>
      <c r="M34" s="5"/>
      <c r="N34" s="5"/>
      <c r="O34" s="5"/>
      <c r="P34" s="5"/>
      <c r="Q34" s="459"/>
      <c r="R34" s="502" t="s">
        <v>8</v>
      </c>
      <c r="S34" s="504"/>
      <c r="T34" s="396"/>
      <c r="U34" s="399">
        <f t="shared" ref="U34:Y34" si="15">B17</f>
        <v>5.05</v>
      </c>
      <c r="V34" s="399">
        <f t="shared" si="15"/>
        <v>5.05</v>
      </c>
      <c r="W34" s="399">
        <f t="shared" si="15"/>
        <v>17.670000000000002</v>
      </c>
      <c r="X34" s="399">
        <f t="shared" si="15"/>
        <v>24.02</v>
      </c>
      <c r="Y34" s="399">
        <f t="shared" si="15"/>
        <v>24.02</v>
      </c>
      <c r="Z34" s="472"/>
      <c r="AA34" s="472"/>
      <c r="AB34" s="472"/>
      <c r="AC34" s="472"/>
      <c r="AD34" s="472"/>
      <c r="AE34" s="472"/>
      <c r="AF34" s="472"/>
      <c r="AG34" s="472"/>
      <c r="AH34" s="472"/>
      <c r="AI34" s="472"/>
      <c r="AJ34" s="472"/>
    </row>
    <row r="35" spans="1:36" ht="16.7" thickTop="1" thickBot="1">
      <c r="A35" s="409" t="s">
        <v>93</v>
      </c>
      <c r="B35" s="86"/>
      <c r="C35" s="86">
        <f>C22-B22+C30</f>
        <v>2.9700000000000015</v>
      </c>
      <c r="D35" s="86">
        <f>D22-C22+D30</f>
        <v>1.5700000000000003</v>
      </c>
      <c r="E35" s="86">
        <f t="shared" ref="E35:F35" si="16">E22-D22+E30</f>
        <v>4.46</v>
      </c>
      <c r="F35" s="86">
        <f t="shared" si="16"/>
        <v>4.0699999999999994</v>
      </c>
      <c r="G35" s="86"/>
      <c r="H35" s="411"/>
      <c r="I35" s="411"/>
      <c r="J35" s="411"/>
      <c r="K35" s="5"/>
      <c r="L35" s="5"/>
      <c r="M35" s="5"/>
      <c r="N35" s="5"/>
      <c r="O35" s="5"/>
      <c r="P35" s="5"/>
      <c r="Q35" s="459"/>
      <c r="R35" s="458" t="s">
        <v>64</v>
      </c>
      <c r="S35" s="396"/>
      <c r="T35" s="396"/>
      <c r="U35" s="400">
        <f t="shared" ref="U35:Y35" si="17">U34/U36</f>
        <v>0.16248391248391247</v>
      </c>
      <c r="V35" s="400">
        <f t="shared" si="17"/>
        <v>0.10769886969503092</v>
      </c>
      <c r="W35" s="400">
        <f t="shared" si="17"/>
        <v>0.28231346860520851</v>
      </c>
      <c r="X35" s="400">
        <f t="shared" si="17"/>
        <v>0.21107205623901582</v>
      </c>
      <c r="Y35" s="400">
        <f t="shared" si="17"/>
        <v>0.17968282465589466</v>
      </c>
    </row>
    <row r="36" spans="1:36" ht="17.3" thickTop="1" thickBot="1">
      <c r="A36" s="409" t="s">
        <v>92</v>
      </c>
      <c r="B36" s="86"/>
      <c r="C36" s="410">
        <f>C35/C10</f>
        <v>3.9919354838709696E-2</v>
      </c>
      <c r="D36" s="410">
        <f t="shared" ref="D36:F36" si="18">D35/D10</f>
        <v>1.8584280303030304E-2</v>
      </c>
      <c r="E36" s="410">
        <f t="shared" si="18"/>
        <v>4.5752974969224453E-2</v>
      </c>
      <c r="F36" s="410">
        <f t="shared" si="18"/>
        <v>3.3806794584267788E-2</v>
      </c>
      <c r="G36" s="86"/>
      <c r="H36" s="409" t="s">
        <v>92</v>
      </c>
      <c r="I36" s="411"/>
      <c r="J36" s="412">
        <f>AVERAGE(C36:F36)</f>
        <v>3.4515851173808065E-2</v>
      </c>
      <c r="K36" s="5"/>
      <c r="L36" s="5"/>
      <c r="M36" s="5"/>
      <c r="N36" s="5"/>
      <c r="O36" s="5"/>
      <c r="P36" s="5"/>
      <c r="Q36" s="459"/>
      <c r="R36" s="502" t="s">
        <v>65</v>
      </c>
      <c r="S36" s="503"/>
      <c r="T36" s="504"/>
      <c r="U36" s="399">
        <f t="shared" ref="U36:Y36" si="19">B29</f>
        <v>31.08</v>
      </c>
      <c r="V36" s="399">
        <f t="shared" si="19"/>
        <v>46.89</v>
      </c>
      <c r="W36" s="399">
        <f t="shared" si="19"/>
        <v>62.59</v>
      </c>
      <c r="X36" s="399">
        <f t="shared" si="19"/>
        <v>113.8</v>
      </c>
      <c r="Y36" s="399">
        <f t="shared" si="19"/>
        <v>133.68</v>
      </c>
    </row>
    <row r="37" spans="1:36" ht="13.25" thickTop="1">
      <c r="A37" s="409" t="s">
        <v>94</v>
      </c>
      <c r="B37" s="86">
        <v>10.879999999999999</v>
      </c>
      <c r="C37" s="86">
        <v>22.799999999999997</v>
      </c>
      <c r="D37" s="86">
        <v>25.5</v>
      </c>
      <c r="E37" s="86">
        <v>52.7</v>
      </c>
      <c r="F37" s="86">
        <v>65.02000000000001</v>
      </c>
      <c r="G37" s="86"/>
      <c r="H37" s="411"/>
      <c r="I37" s="411"/>
      <c r="J37" s="411"/>
      <c r="K37" s="5"/>
      <c r="L37" s="5"/>
      <c r="M37" s="5"/>
      <c r="N37" s="5"/>
      <c r="O37" s="5"/>
      <c r="P37" s="5"/>
      <c r="Q37" s="459"/>
      <c r="R37" s="459"/>
      <c r="S37" s="459"/>
      <c r="T37" s="459"/>
      <c r="U37" s="459"/>
      <c r="V37" s="459"/>
      <c r="W37" s="459"/>
      <c r="X37" s="459"/>
      <c r="Y37" s="459"/>
    </row>
    <row r="38" spans="1:36" ht="12.7">
      <c r="A38" s="409" t="s">
        <v>95</v>
      </c>
      <c r="B38" s="410">
        <f>B37/B10</f>
        <v>0.25284685103416216</v>
      </c>
      <c r="C38" s="410">
        <f t="shared" ref="C38:F38" si="20">C37/C10</f>
        <v>0.30645161290322576</v>
      </c>
      <c r="D38" s="410">
        <f t="shared" si="20"/>
        <v>0.30184659090909088</v>
      </c>
      <c r="E38" s="410">
        <f t="shared" si="20"/>
        <v>0.54062371768567907</v>
      </c>
      <c r="F38" s="410">
        <f t="shared" si="20"/>
        <v>0.54007807957471554</v>
      </c>
      <c r="G38" s="86"/>
      <c r="H38" s="409" t="s">
        <v>95</v>
      </c>
      <c r="I38" s="411"/>
      <c r="J38" s="412">
        <f>AVERAGE(B38:F38)</f>
        <v>0.3883693704213747</v>
      </c>
      <c r="K38" s="5"/>
      <c r="L38" s="5"/>
      <c r="M38" s="5"/>
      <c r="N38" s="5"/>
      <c r="O38" s="5"/>
      <c r="P38" s="5"/>
      <c r="Q38" s="459"/>
      <c r="R38" s="459"/>
      <c r="S38" s="459"/>
      <c r="T38" s="459"/>
      <c r="U38" s="459"/>
      <c r="V38" s="459"/>
      <c r="W38" s="459"/>
      <c r="X38" s="459"/>
      <c r="Y38" s="459"/>
    </row>
    <row r="39" spans="1:36" ht="14.4">
      <c r="A39" s="409" t="s">
        <v>77</v>
      </c>
      <c r="B39" s="410">
        <v>0.12322274881516591</v>
      </c>
      <c r="C39" s="410">
        <v>0.11095983662355337</v>
      </c>
      <c r="D39" s="410">
        <v>-3.9093041438623931E-2</v>
      </c>
      <c r="E39" s="410">
        <v>0.12362493452069143</v>
      </c>
      <c r="F39" s="410">
        <v>0.19308087891538098</v>
      </c>
      <c r="G39" s="86"/>
      <c r="H39" s="409" t="s">
        <v>77</v>
      </c>
      <c r="I39" s="411"/>
      <c r="J39" s="412">
        <f>AVERAGE(B39:F39)</f>
        <v>0.10235907148723355</v>
      </c>
      <c r="K39" s="5"/>
      <c r="L39" s="5"/>
      <c r="M39" s="5"/>
      <c r="N39" s="5"/>
      <c r="O39" s="5"/>
      <c r="P39" s="5"/>
      <c r="Q39" s="459"/>
      <c r="R39" s="460" t="s">
        <v>66</v>
      </c>
      <c r="S39" s="461"/>
      <c r="T39" s="461"/>
      <c r="U39" s="462">
        <f>U15-U26</f>
        <v>10.879999999999999</v>
      </c>
      <c r="V39" s="462">
        <f t="shared" ref="V39:Y39" si="21">V15-V26</f>
        <v>22.799999999999997</v>
      </c>
      <c r="W39" s="462">
        <f t="shared" si="21"/>
        <v>25.5</v>
      </c>
      <c r="X39" s="462">
        <f t="shared" si="21"/>
        <v>52.7</v>
      </c>
      <c r="Y39" s="462">
        <f t="shared" si="21"/>
        <v>65.02000000000001</v>
      </c>
    </row>
    <row r="40" spans="1:36" ht="12.7">
      <c r="A40" s="86"/>
      <c r="B40" s="86"/>
      <c r="C40" s="86"/>
      <c r="D40" s="86"/>
      <c r="E40" s="86"/>
      <c r="F40" s="86"/>
      <c r="G40" s="86"/>
      <c r="H40" s="411"/>
      <c r="I40" s="411"/>
      <c r="J40" s="411"/>
      <c r="K40" s="5"/>
      <c r="L40" s="5"/>
      <c r="M40" s="5"/>
      <c r="N40" s="5"/>
      <c r="O40" s="5"/>
      <c r="P40" s="5"/>
      <c r="Q40" s="459"/>
      <c r="R40" s="461"/>
      <c r="S40" s="461"/>
      <c r="T40" s="461"/>
      <c r="U40" s="461"/>
      <c r="V40" s="462">
        <f>V39-U39</f>
        <v>11.919999999999998</v>
      </c>
      <c r="W40" s="462">
        <f t="shared" ref="W40:Y40" si="22">W39-V39</f>
        <v>2.7000000000000028</v>
      </c>
      <c r="X40" s="462">
        <f t="shared" si="22"/>
        <v>27.200000000000003</v>
      </c>
      <c r="Y40" s="462">
        <f t="shared" si="22"/>
        <v>12.320000000000007</v>
      </c>
    </row>
    <row r="41" spans="1:36" ht="14.4">
      <c r="A41" s="86"/>
      <c r="B41" s="86"/>
      <c r="C41" s="86"/>
      <c r="D41" s="86"/>
      <c r="E41" s="86"/>
      <c r="F41" s="86"/>
      <c r="G41" s="86"/>
      <c r="H41" s="411"/>
      <c r="I41" s="411"/>
      <c r="J41" s="411"/>
      <c r="K41" s="5"/>
      <c r="L41" s="5"/>
      <c r="M41" s="5"/>
      <c r="N41" s="5"/>
      <c r="O41" s="5"/>
      <c r="P41" s="5"/>
      <c r="Q41" s="459"/>
      <c r="R41" s="460" t="s">
        <v>67</v>
      </c>
      <c r="S41" s="461"/>
      <c r="T41" s="461"/>
      <c r="U41" s="461"/>
      <c r="V41" s="462">
        <f t="shared" ref="V41:Y41" si="23">V13-U13</f>
        <v>0.29999999999999982</v>
      </c>
      <c r="W41" s="462">
        <f t="shared" si="23"/>
        <v>-1.3200000000000003</v>
      </c>
      <c r="X41" s="462">
        <f t="shared" si="23"/>
        <v>2.0300000000000002</v>
      </c>
      <c r="Y41" s="462">
        <f t="shared" si="23"/>
        <v>0.99999999999999911</v>
      </c>
    </row>
    <row r="42" spans="1:36" ht="15.7" customHeight="1">
      <c r="A42" s="409" t="s">
        <v>96</v>
      </c>
      <c r="B42" s="395">
        <v>0.17449999999999999</v>
      </c>
      <c r="C42" s="395">
        <v>0.28620000000000001</v>
      </c>
      <c r="D42" s="413">
        <v>0.20169999999999999</v>
      </c>
      <c r="E42" s="395">
        <v>0.14860000000000001</v>
      </c>
      <c r="F42" s="395">
        <v>0.15840000000000001</v>
      </c>
      <c r="G42" s="86"/>
      <c r="H42" s="93" t="s">
        <v>96</v>
      </c>
      <c r="I42" s="86"/>
      <c r="J42" s="395">
        <f>AVERAGE(B42:F42)</f>
        <v>0.19388</v>
      </c>
      <c r="K42" t="s">
        <v>124</v>
      </c>
      <c r="Q42" s="472"/>
      <c r="R42" s="472"/>
      <c r="S42" s="472"/>
      <c r="T42" s="472"/>
      <c r="U42" s="472"/>
      <c r="V42" s="472"/>
      <c r="W42" s="472"/>
      <c r="X42" s="472"/>
      <c r="Y42" s="472"/>
    </row>
    <row r="43" spans="1:36" ht="15.7" customHeight="1">
      <c r="A43" s="409" t="s">
        <v>97</v>
      </c>
      <c r="B43" s="395">
        <v>0.96789999999999998</v>
      </c>
      <c r="C43" s="395">
        <v>0.99429999999999996</v>
      </c>
      <c r="D43" s="395">
        <v>0.99409999999999998</v>
      </c>
      <c r="E43" s="414">
        <v>0</v>
      </c>
      <c r="F43" s="395">
        <v>0.93069999999999997</v>
      </c>
      <c r="G43" s="86"/>
      <c r="H43" s="411" t="s">
        <v>97</v>
      </c>
      <c r="I43" s="86"/>
      <c r="J43" s="395">
        <f>AVERAGE(C43:F43)</f>
        <v>0.72977499999999995</v>
      </c>
      <c r="Q43" s="472"/>
      <c r="R43" s="472"/>
      <c r="S43" s="472"/>
      <c r="T43" s="472"/>
      <c r="U43" s="472"/>
      <c r="V43" s="472"/>
      <c r="W43" s="472"/>
      <c r="X43" s="472"/>
      <c r="Y43" s="472"/>
    </row>
    <row r="44" spans="1:36" ht="15.7" customHeight="1">
      <c r="A44" s="86"/>
      <c r="B44" s="86"/>
      <c r="C44" s="86"/>
      <c r="D44" s="86"/>
      <c r="E44" s="86"/>
      <c r="F44" s="86"/>
      <c r="G44" s="86"/>
      <c r="H44" s="86"/>
      <c r="I44" s="86"/>
      <c r="J44" s="86"/>
      <c r="Q44" s="472"/>
      <c r="R44" s="472"/>
      <c r="S44" s="472"/>
      <c r="T44" s="472"/>
      <c r="U44" s="472"/>
      <c r="V44" s="472"/>
      <c r="W44" s="472"/>
      <c r="X44" s="472"/>
      <c r="Y44" s="472"/>
    </row>
    <row r="47" spans="1:36" ht="12.7">
      <c r="G47" s="5"/>
      <c r="H47" s="5"/>
    </row>
    <row r="48" spans="1:36" ht="12.7">
      <c r="G48" s="5"/>
      <c r="H48" s="5"/>
      <c r="I48" s="5"/>
      <c r="J48" s="5"/>
      <c r="K48" s="5"/>
      <c r="L48" s="5"/>
      <c r="M48" s="5"/>
      <c r="N48" s="5"/>
      <c r="O48" s="5"/>
    </row>
    <row r="49" spans="7:15" ht="12.7">
      <c r="G49" s="5"/>
      <c r="H49" s="5"/>
      <c r="I49" s="5"/>
      <c r="J49" s="5"/>
      <c r="K49" s="5"/>
      <c r="L49" s="5"/>
      <c r="M49" s="5"/>
      <c r="N49" s="5"/>
      <c r="O49" s="5"/>
    </row>
    <row r="159" spans="2:10" ht="15.7" customHeight="1">
      <c r="B159" s="472"/>
      <c r="C159" s="472"/>
      <c r="D159" s="472"/>
      <c r="E159" s="472"/>
      <c r="F159" s="472"/>
      <c r="G159" s="472"/>
      <c r="H159" s="472"/>
      <c r="I159" s="472"/>
      <c r="J159" s="472"/>
    </row>
    <row r="160" spans="2:10" ht="15.7" customHeight="1">
      <c r="B160" s="472"/>
      <c r="C160" s="472"/>
      <c r="D160" s="472"/>
      <c r="E160" s="472"/>
      <c r="F160" s="472"/>
      <c r="G160" s="472"/>
      <c r="H160" s="472"/>
      <c r="I160" s="472"/>
      <c r="J160" s="472"/>
    </row>
    <row r="161" spans="2:10" ht="15.7" customHeight="1">
      <c r="B161" s="472"/>
      <c r="C161" s="472"/>
      <c r="D161" s="472"/>
      <c r="E161" s="472"/>
      <c r="F161" s="472"/>
      <c r="G161" s="472"/>
      <c r="H161" s="472"/>
      <c r="I161" s="472"/>
      <c r="J161" s="472"/>
    </row>
    <row r="162" spans="2:10" ht="15.7" customHeight="1" thickBot="1">
      <c r="B162" s="472"/>
      <c r="C162" s="472"/>
      <c r="D162" s="472"/>
      <c r="E162" s="472"/>
      <c r="F162" s="472"/>
      <c r="G162" s="472"/>
      <c r="H162" s="472"/>
      <c r="I162" s="472"/>
      <c r="J162" s="472"/>
    </row>
    <row r="163" spans="2:10" ht="15.7" customHeight="1" thickTop="1" thickBot="1">
      <c r="B163" s="472"/>
      <c r="C163" s="396"/>
      <c r="D163" s="397">
        <v>15</v>
      </c>
      <c r="E163" s="397">
        <v>16</v>
      </c>
      <c r="F163" s="397">
        <v>17</v>
      </c>
      <c r="G163" s="397">
        <v>18</v>
      </c>
      <c r="H163" s="397">
        <v>19</v>
      </c>
      <c r="I163" s="472"/>
      <c r="J163" s="472"/>
    </row>
    <row r="164" spans="2:10" ht="15.7" customHeight="1" thickTop="1" thickBot="1">
      <c r="B164" s="472"/>
      <c r="C164" s="396"/>
      <c r="D164" s="507" t="s">
        <v>68</v>
      </c>
      <c r="E164" s="503"/>
      <c r="F164" s="503"/>
      <c r="G164" s="503"/>
      <c r="H164" s="504"/>
      <c r="I164" s="472"/>
      <c r="J164" s="472"/>
    </row>
    <row r="165" spans="2:10" ht="15.7" customHeight="1" thickTop="1" thickBot="1">
      <c r="B165" s="472"/>
      <c r="C165" s="482" t="s">
        <v>70</v>
      </c>
      <c r="D165" s="399">
        <f>B10</f>
        <v>43.03</v>
      </c>
      <c r="E165" s="399">
        <f>C10</f>
        <v>74.400000000000006</v>
      </c>
      <c r="F165" s="399">
        <f>D10</f>
        <v>84.48</v>
      </c>
      <c r="G165" s="399">
        <f>E10</f>
        <v>97.48</v>
      </c>
      <c r="H165" s="399">
        <f>F10</f>
        <v>120.39</v>
      </c>
      <c r="I165" s="472"/>
      <c r="J165" s="472"/>
    </row>
    <row r="166" spans="2:10" ht="15.7" customHeight="1" thickTop="1" thickBot="1">
      <c r="B166" s="472"/>
      <c r="C166" s="483" t="s">
        <v>72</v>
      </c>
      <c r="D166" s="399">
        <f>AD15</f>
        <v>33.590000000000003</v>
      </c>
      <c r="E166" s="399">
        <f>AE15</f>
        <v>56.47999999999999</v>
      </c>
      <c r="F166" s="399">
        <f>AF15</f>
        <v>67.61999999999999</v>
      </c>
      <c r="G166" s="399">
        <f>AG15</f>
        <v>73.86</v>
      </c>
      <c r="H166" s="399">
        <f>AH15</f>
        <v>91.03</v>
      </c>
      <c r="I166" s="472"/>
      <c r="J166" s="472"/>
    </row>
    <row r="167" spans="2:10" ht="15.7" customHeight="1" thickTop="1" thickBot="1">
      <c r="B167" s="472"/>
      <c r="C167" s="483" t="s">
        <v>74</v>
      </c>
      <c r="D167" s="399">
        <f>AD13</f>
        <v>0.39000000000000057</v>
      </c>
      <c r="E167" s="399">
        <f>AE13</f>
        <v>0.55000000000001137</v>
      </c>
      <c r="F167" s="399">
        <f>AF13</f>
        <v>1.1300000000000097</v>
      </c>
      <c r="G167" s="399">
        <f>AG13</f>
        <v>2.0700000000000074</v>
      </c>
      <c r="H167" s="399">
        <f>AH13</f>
        <v>4.8700000000000045</v>
      </c>
      <c r="I167" s="472"/>
      <c r="J167" s="472"/>
    </row>
    <row r="168" spans="2:10" ht="15.7" customHeight="1" thickTop="1" thickBot="1">
      <c r="B168" s="472"/>
      <c r="C168" s="483" t="s">
        <v>45</v>
      </c>
      <c r="D168" s="399">
        <f>AD23</f>
        <v>2.6999999999999993</v>
      </c>
      <c r="E168" s="399">
        <f>AE23</f>
        <v>2.6700000000000017</v>
      </c>
      <c r="F168" s="399">
        <f>AF23</f>
        <v>2.8900000000000006</v>
      </c>
      <c r="G168" s="399">
        <f>AG23</f>
        <v>2.4299999999999997</v>
      </c>
      <c r="H168" s="399">
        <f>AH23</f>
        <v>3.0700000000000003</v>
      </c>
      <c r="I168" s="472"/>
      <c r="J168" s="472"/>
    </row>
    <row r="169" spans="2:10" ht="15.7" customHeight="1" thickTop="1" thickBot="1">
      <c r="B169" s="472"/>
      <c r="C169" s="396"/>
      <c r="D169" s="396"/>
      <c r="E169" s="396"/>
      <c r="F169" s="396"/>
      <c r="G169" s="396"/>
      <c r="H169" s="396"/>
      <c r="I169" s="472"/>
      <c r="J169" s="472"/>
    </row>
    <row r="170" spans="2:10" ht="15.7" customHeight="1" thickTop="1">
      <c r="B170" s="472"/>
      <c r="C170" s="472"/>
      <c r="D170" s="472"/>
      <c r="E170" s="472"/>
      <c r="F170" s="472"/>
      <c r="G170" s="472"/>
      <c r="H170" s="472"/>
      <c r="I170" s="472"/>
      <c r="J170" s="472"/>
    </row>
    <row r="171" spans="2:10" ht="15.7" customHeight="1">
      <c r="B171" s="472"/>
      <c r="C171" s="472"/>
      <c r="D171" s="472"/>
      <c r="E171" s="472"/>
      <c r="F171" s="472"/>
      <c r="G171" s="472"/>
      <c r="H171" s="472"/>
      <c r="I171" s="472"/>
      <c r="J171" s="472"/>
    </row>
    <row r="172" spans="2:10" ht="15.7" customHeight="1">
      <c r="B172" s="472"/>
      <c r="C172" s="472"/>
      <c r="D172" s="472"/>
      <c r="E172" s="472"/>
      <c r="F172" s="472"/>
      <c r="G172" s="472"/>
      <c r="H172" s="472"/>
      <c r="I172" s="472"/>
      <c r="J172" s="472"/>
    </row>
    <row r="173" spans="2:10" ht="15.7" customHeight="1">
      <c r="B173" s="472"/>
      <c r="C173" s="472"/>
      <c r="D173" s="472"/>
      <c r="E173" s="472"/>
      <c r="F173" s="472"/>
      <c r="G173" s="472"/>
      <c r="H173" s="472"/>
      <c r="I173" s="472"/>
      <c r="J173" s="472"/>
    </row>
    <row r="174" spans="2:10" ht="15.7" customHeight="1">
      <c r="B174" s="472"/>
      <c r="C174" s="472"/>
      <c r="D174" s="472"/>
      <c r="E174" s="472"/>
      <c r="F174" s="472"/>
      <c r="G174" s="472"/>
      <c r="H174" s="472"/>
      <c r="I174" s="472"/>
      <c r="J174" s="472"/>
    </row>
    <row r="175" spans="2:10" ht="15.7" customHeight="1">
      <c r="B175" s="472"/>
      <c r="C175" s="472"/>
      <c r="D175" s="472"/>
      <c r="E175" s="472"/>
      <c r="F175" s="472"/>
      <c r="G175" s="472"/>
      <c r="H175" s="472"/>
      <c r="I175" s="472"/>
      <c r="J175" s="472"/>
    </row>
    <row r="176" spans="2:10" ht="15.7" customHeight="1">
      <c r="B176" s="472"/>
      <c r="C176" s="472"/>
      <c r="D176" s="472"/>
      <c r="E176" s="472"/>
      <c r="F176" s="472"/>
      <c r="G176" s="472"/>
      <c r="H176" s="472"/>
      <c r="I176" s="472"/>
      <c r="J176" s="472"/>
    </row>
    <row r="177" spans="2:10" ht="15.7" customHeight="1">
      <c r="B177" s="472"/>
      <c r="C177" s="472"/>
      <c r="D177" s="472"/>
      <c r="E177" s="472"/>
      <c r="F177" s="472"/>
      <c r="G177" s="472"/>
      <c r="H177" s="472"/>
      <c r="I177" s="472"/>
      <c r="J177" s="472"/>
    </row>
    <row r="178" spans="2:10" ht="15.7" customHeight="1">
      <c r="B178" s="472"/>
      <c r="C178" s="472"/>
      <c r="D178" s="472"/>
      <c r="E178" s="472"/>
      <c r="F178" s="472"/>
      <c r="G178" s="472"/>
      <c r="H178" s="472"/>
      <c r="I178" s="472"/>
      <c r="J178" s="472"/>
    </row>
    <row r="179" spans="2:10" ht="15.7" customHeight="1">
      <c r="B179" s="472"/>
      <c r="C179" s="472"/>
      <c r="D179" s="472"/>
      <c r="E179" s="472"/>
      <c r="F179" s="472"/>
      <c r="G179" s="472"/>
      <c r="H179" s="472"/>
      <c r="I179" s="472"/>
      <c r="J179" s="472"/>
    </row>
    <row r="180" spans="2:10" ht="15.7" customHeight="1">
      <c r="B180" s="472"/>
      <c r="C180" s="472"/>
      <c r="D180" s="472"/>
      <c r="E180" s="472"/>
      <c r="F180" s="472"/>
      <c r="G180" s="472"/>
      <c r="H180" s="472"/>
      <c r="I180" s="472"/>
      <c r="J180" s="472"/>
    </row>
  </sheetData>
  <mergeCells count="36">
    <mergeCell ref="AA10:AH10"/>
    <mergeCell ref="R10:Y10"/>
    <mergeCell ref="AA11:AC11"/>
    <mergeCell ref="AA12:AB12"/>
    <mergeCell ref="AB13:AC13"/>
    <mergeCell ref="R13:T13"/>
    <mergeCell ref="AB28:AC28"/>
    <mergeCell ref="R26:T26"/>
    <mergeCell ref="R28:S28"/>
    <mergeCell ref="AA14:AC14"/>
    <mergeCell ref="AB15:AC15"/>
    <mergeCell ref="AB16:AC16"/>
    <mergeCell ref="R16:T16"/>
    <mergeCell ref="AA17:AC17"/>
    <mergeCell ref="R15:T15"/>
    <mergeCell ref="R25:T25"/>
    <mergeCell ref="AB18:AC18"/>
    <mergeCell ref="R18:T18"/>
    <mergeCell ref="AA19:AB19"/>
    <mergeCell ref="R20:S20"/>
    <mergeCell ref="R29:T29"/>
    <mergeCell ref="AB30:AC30"/>
    <mergeCell ref="AB32:AC32"/>
    <mergeCell ref="D164:H164"/>
    <mergeCell ref="AB20:AC20"/>
    <mergeCell ref="AB21:AC21"/>
    <mergeCell ref="AA22:AB22"/>
    <mergeCell ref="AB23:AC23"/>
    <mergeCell ref="AA24:AB24"/>
    <mergeCell ref="AB25:AC25"/>
    <mergeCell ref="AA26:AB26"/>
    <mergeCell ref="R31:T31"/>
    <mergeCell ref="R32:T32"/>
    <mergeCell ref="R34:S34"/>
    <mergeCell ref="R36:T36"/>
    <mergeCell ref="R23:S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72A40-A9FB-4D26-881D-CEC6E82C38B0}">
  <dimension ref="A1:S105"/>
  <sheetViews>
    <sheetView topLeftCell="A79" workbookViewId="0">
      <selection activeCell="E104" sqref="E104"/>
    </sheetView>
  </sheetViews>
  <sheetFormatPr defaultRowHeight="12.7"/>
  <cols>
    <col min="1" max="1" width="35.21875" customWidth="1"/>
    <col min="2" max="2" width="13.6640625" customWidth="1"/>
    <col min="3" max="3" width="27.109375" customWidth="1"/>
    <col min="4" max="4" width="27" customWidth="1"/>
    <col min="9" max="9" width="20.44140625" customWidth="1"/>
    <col min="10" max="10" width="14.33203125" customWidth="1"/>
    <col min="11" max="11" width="23.6640625" customWidth="1"/>
  </cols>
  <sheetData>
    <row r="1" spans="1:9" ht="14.4" thickBot="1">
      <c r="A1" s="68" t="s">
        <v>98</v>
      </c>
      <c r="B1" s="64"/>
      <c r="C1" s="64"/>
      <c r="D1" s="64"/>
      <c r="E1" s="64"/>
      <c r="F1" s="64"/>
      <c r="G1" s="64"/>
      <c r="H1" s="64"/>
      <c r="I1" s="64"/>
    </row>
    <row r="2" spans="1:9" ht="15.55" thickTop="1" thickBot="1">
      <c r="A2" s="69" t="s">
        <v>99</v>
      </c>
      <c r="B2" s="41">
        <v>120.39</v>
      </c>
      <c r="C2" s="64"/>
      <c r="D2" s="64" t="s">
        <v>96</v>
      </c>
      <c r="E2" s="64"/>
      <c r="F2" s="75">
        <f>'INFOBEANS TECHNOLOGIES LIMITED'!J42</f>
        <v>0.19388</v>
      </c>
      <c r="G2" s="64"/>
      <c r="H2" s="64"/>
      <c r="I2" s="64"/>
    </row>
    <row r="3" spans="1:9" ht="13.25" thickTop="1">
      <c r="A3" s="69" t="s">
        <v>100</v>
      </c>
      <c r="B3" s="71">
        <v>0.31335381905142007</v>
      </c>
      <c r="C3" s="64"/>
      <c r="D3" s="64" t="s">
        <v>97</v>
      </c>
      <c r="E3" s="64"/>
      <c r="F3" s="75">
        <f>'INFOBEANS TECHNOLOGIES LIMITED'!J43</f>
        <v>0.72977499999999995</v>
      </c>
      <c r="G3" s="64"/>
      <c r="H3" s="64"/>
      <c r="I3" s="64"/>
    </row>
    <row r="4" spans="1:9">
      <c r="A4" s="69" t="s">
        <v>101</v>
      </c>
      <c r="B4" s="71">
        <v>0.2108954482387761</v>
      </c>
      <c r="C4" s="64"/>
      <c r="D4" s="64"/>
      <c r="E4" s="64"/>
      <c r="F4" s="64"/>
      <c r="G4" s="64"/>
      <c r="H4" s="64"/>
      <c r="I4" s="64"/>
    </row>
    <row r="5" spans="1:9" ht="16.149999999999999">
      <c r="A5" s="69" t="s">
        <v>102</v>
      </c>
      <c r="B5" s="71">
        <v>0.42592189368479477</v>
      </c>
      <c r="C5" s="64"/>
      <c r="D5" s="64"/>
      <c r="E5" s="64"/>
      <c r="F5" s="64"/>
      <c r="G5" s="64"/>
      <c r="H5" s="64"/>
      <c r="I5" s="64"/>
    </row>
    <row r="6" spans="1:9">
      <c r="A6" s="69" t="s">
        <v>92</v>
      </c>
      <c r="B6" s="71">
        <v>3.4515851173808065E-2</v>
      </c>
      <c r="C6" s="64"/>
      <c r="D6" s="64"/>
      <c r="E6" s="64"/>
      <c r="F6" s="64"/>
      <c r="G6" s="64"/>
      <c r="H6" s="64"/>
      <c r="I6" s="64"/>
    </row>
    <row r="7" spans="1:9">
      <c r="A7" s="69" t="s">
        <v>103</v>
      </c>
      <c r="B7" s="71">
        <v>0.3883693704213747</v>
      </c>
      <c r="C7" s="64"/>
      <c r="D7" s="64"/>
      <c r="E7" s="64"/>
      <c r="F7" s="64"/>
      <c r="G7" s="64"/>
      <c r="H7" s="64"/>
      <c r="I7" s="64"/>
    </row>
    <row r="8" spans="1:9">
      <c r="A8" s="69" t="s">
        <v>77</v>
      </c>
      <c r="B8" s="71">
        <v>0.10235907148723355</v>
      </c>
      <c r="C8" s="64"/>
      <c r="D8" s="64"/>
      <c r="E8" s="64"/>
      <c r="F8" s="64"/>
      <c r="G8" s="64"/>
      <c r="H8" s="64"/>
      <c r="I8" s="64"/>
    </row>
    <row r="9" spans="1:9">
      <c r="A9" s="69" t="s">
        <v>104</v>
      </c>
      <c r="B9" s="70">
        <v>8.1199999999999992</v>
      </c>
      <c r="C9" s="64"/>
      <c r="D9" s="64"/>
      <c r="E9" s="64"/>
      <c r="F9" s="64"/>
      <c r="G9" s="64"/>
      <c r="H9" s="64"/>
      <c r="I9" s="64"/>
    </row>
    <row r="10" spans="1:9" ht="13.85">
      <c r="A10" s="72" t="s">
        <v>105</v>
      </c>
      <c r="B10" s="73"/>
      <c r="C10" s="72">
        <v>2020</v>
      </c>
      <c r="D10" s="72">
        <v>2021</v>
      </c>
      <c r="E10" s="72">
        <v>2022</v>
      </c>
      <c r="F10" s="72">
        <v>2023</v>
      </c>
      <c r="G10" s="72">
        <v>2024</v>
      </c>
      <c r="H10" s="64"/>
      <c r="I10" s="64"/>
    </row>
    <row r="11" spans="1:9">
      <c r="A11" s="64" t="s">
        <v>73</v>
      </c>
      <c r="B11" s="64"/>
      <c r="C11" s="64">
        <f>B2*(1+$B$3)</f>
        <v>158.11466627560046</v>
      </c>
      <c r="D11" s="64">
        <f>C11*(1+$B$3)</f>
        <v>207.66050080110062</v>
      </c>
      <c r="E11" s="64">
        <f>D11*(1+$B$3)</f>
        <v>272.73171179325595</v>
      </c>
      <c r="F11" s="64">
        <f>E11*(1+$B$3)</f>
        <v>358.1932352601039</v>
      </c>
      <c r="G11" s="64">
        <f>F11*(1+$B$3)</f>
        <v>470.43445348724123</v>
      </c>
      <c r="H11" s="64"/>
      <c r="I11" s="64"/>
    </row>
    <row r="12" spans="1:9">
      <c r="A12" s="64" t="s">
        <v>39</v>
      </c>
      <c r="B12" s="64"/>
      <c r="C12" s="64">
        <f>$B$4*C11</f>
        <v>33.345663417317255</v>
      </c>
      <c r="D12" s="64">
        <f>$B$4*D11</f>
        <v>43.794654397936839</v>
      </c>
      <c r="E12" s="64">
        <f>$B$4*E11</f>
        <v>57.517876607567409</v>
      </c>
      <c r="F12" s="64">
        <f>$B$4*F11</f>
        <v>75.541322906276989</v>
      </c>
      <c r="G12" s="64">
        <f>$B$4*G11</f>
        <v>99.212484935155402</v>
      </c>
      <c r="H12" s="64"/>
      <c r="I12" s="64"/>
    </row>
    <row r="13" spans="1:9">
      <c r="A13" s="64" t="s">
        <v>106</v>
      </c>
      <c r="B13" s="64"/>
      <c r="C13" s="64">
        <f>$B$5*B19</f>
        <v>3.4584857767205333</v>
      </c>
      <c r="D13" s="64">
        <f>$B$5*C19</f>
        <v>4.3098936385026567</v>
      </c>
      <c r="E13" s="64">
        <f>$B$5*D19</f>
        <v>5.5270443738118393</v>
      </c>
      <c r="F13" s="64">
        <f>$B$5*E19</f>
        <v>7.1823995249871189</v>
      </c>
      <c r="G13" s="64">
        <f>$B$5*F19</f>
        <v>9.3890773771024545</v>
      </c>
      <c r="H13" s="64"/>
      <c r="I13" s="64"/>
    </row>
    <row r="14" spans="1:9">
      <c r="A14" s="64" t="s">
        <v>47</v>
      </c>
      <c r="B14" s="64"/>
      <c r="C14" s="64">
        <f>C12-C13</f>
        <v>29.887177640596722</v>
      </c>
      <c r="D14" s="64">
        <f>D12-D13</f>
        <v>39.484760759434181</v>
      </c>
      <c r="E14" s="64">
        <f>E12-E13</f>
        <v>51.990832233755569</v>
      </c>
      <c r="F14" s="64">
        <f>F12-F13</f>
        <v>68.35892338128987</v>
      </c>
      <c r="G14" s="64">
        <f>G12-G13</f>
        <v>89.823407558052949</v>
      </c>
      <c r="H14" s="64"/>
      <c r="I14" s="64"/>
    </row>
    <row r="15" spans="1:9">
      <c r="A15" s="64" t="s">
        <v>107</v>
      </c>
      <c r="B15" s="64"/>
      <c r="C15" s="64">
        <f>C14*(1-$B$8)</f>
        <v>26.827953887931233</v>
      </c>
      <c r="D15" s="64">
        <f>D14*(1-$B$8)</f>
        <v>35.443137310202943</v>
      </c>
      <c r="E15" s="64">
        <f>E14*(1-$B$8)</f>
        <v>46.669098920459817</v>
      </c>
      <c r="F15" s="64">
        <f>F14*(1-$B$8)</f>
        <v>61.361767456114102</v>
      </c>
      <c r="G15" s="64">
        <f>G14*(1-$B$8)</f>
        <v>80.629166962591299</v>
      </c>
      <c r="H15" s="64"/>
      <c r="I15" s="64"/>
    </row>
    <row r="16" spans="1:9">
      <c r="A16" s="64"/>
      <c r="B16" s="64"/>
      <c r="C16" s="64"/>
      <c r="D16" s="64"/>
      <c r="E16" s="64"/>
      <c r="F16" s="64"/>
      <c r="G16" s="64"/>
      <c r="H16" s="64"/>
      <c r="I16" s="64"/>
    </row>
    <row r="17" spans="1:12" ht="13.85">
      <c r="A17" s="72" t="s">
        <v>108</v>
      </c>
      <c r="B17" s="72">
        <v>2019</v>
      </c>
      <c r="C17" s="72">
        <v>2020</v>
      </c>
      <c r="D17" s="72">
        <v>2021</v>
      </c>
      <c r="E17" s="72">
        <v>2022</v>
      </c>
      <c r="F17" s="72">
        <v>2023</v>
      </c>
      <c r="G17" s="72">
        <v>2024</v>
      </c>
      <c r="H17" s="64"/>
      <c r="I17" s="64"/>
    </row>
    <row r="18" spans="1:12">
      <c r="A18" s="64" t="s">
        <v>94</v>
      </c>
      <c r="B18" s="64">
        <v>65.02000000000001</v>
      </c>
      <c r="C18" s="64">
        <f>$B$7*C11</f>
        <v>61.406893395840719</v>
      </c>
      <c r="D18" s="64">
        <f>$B$7*D11</f>
        <v>80.648977957510823</v>
      </c>
      <c r="E18" s="64">
        <f>$B$7*E11</f>
        <v>105.92064320309063</v>
      </c>
      <c r="F18" s="64">
        <f>$B$7*F11</f>
        <v>139.1112812671619</v>
      </c>
      <c r="G18" s="64">
        <f>$B$7*G11</f>
        <v>182.70233252536335</v>
      </c>
      <c r="H18" s="64"/>
      <c r="I18" s="64"/>
    </row>
    <row r="19" spans="1:12">
      <c r="A19" s="64" t="s">
        <v>109</v>
      </c>
      <c r="B19" s="74">
        <v>8.1199999999999992</v>
      </c>
      <c r="C19" s="74">
        <f>B19+C25-C13</f>
        <v>10.118976512844421</v>
      </c>
      <c r="D19" s="74">
        <f>C19+D25-D13</f>
        <v>12.976661814671004</v>
      </c>
      <c r="E19" s="74">
        <f>D19+E25-E13</f>
        <v>16.8631846154931</v>
      </c>
      <c r="F19" s="74">
        <f>E19+F25-F13</f>
        <v>22.044129490208547</v>
      </c>
      <c r="G19" s="74">
        <f>F19+G25-G13</f>
        <v>28.892497696703444</v>
      </c>
      <c r="H19" s="64"/>
      <c r="I19" s="64"/>
    </row>
    <row r="20" spans="1:12">
      <c r="A20" s="64" t="s">
        <v>17</v>
      </c>
      <c r="B20" s="74">
        <f t="shared" ref="B20:G20" si="0">B19+B18</f>
        <v>73.140000000000015</v>
      </c>
      <c r="C20" s="74">
        <f t="shared" si="0"/>
        <v>71.525869908685138</v>
      </c>
      <c r="D20" s="74">
        <f t="shared" si="0"/>
        <v>93.625639772181827</v>
      </c>
      <c r="E20" s="74">
        <f t="shared" si="0"/>
        <v>122.78382781858373</v>
      </c>
      <c r="F20" s="74">
        <f t="shared" si="0"/>
        <v>161.15541075737045</v>
      </c>
      <c r="G20" s="74">
        <f t="shared" si="0"/>
        <v>211.59483022206678</v>
      </c>
      <c r="H20" s="64"/>
      <c r="I20" s="64"/>
    </row>
    <row r="21" spans="1:12">
      <c r="A21" s="64"/>
      <c r="B21" s="64"/>
      <c r="C21" s="74"/>
      <c r="D21" s="64"/>
      <c r="E21" s="64"/>
      <c r="F21" s="64"/>
      <c r="G21" s="64"/>
      <c r="H21" s="64"/>
      <c r="I21" s="64"/>
    </row>
    <row r="22" spans="1:12">
      <c r="A22" s="64"/>
      <c r="B22" s="64"/>
      <c r="C22" s="64"/>
      <c r="D22" s="64"/>
      <c r="E22" s="64"/>
      <c r="F22" s="64"/>
      <c r="G22" s="64"/>
      <c r="H22" s="64"/>
      <c r="I22" s="64"/>
    </row>
    <row r="23" spans="1:12">
      <c r="A23" s="64"/>
      <c r="B23" s="64"/>
      <c r="C23" s="64"/>
      <c r="D23" s="64"/>
      <c r="E23" s="64"/>
      <c r="F23" s="64"/>
      <c r="G23" s="64"/>
      <c r="H23" s="64"/>
      <c r="I23" s="64"/>
    </row>
    <row r="24" spans="1:12">
      <c r="A24" s="64"/>
      <c r="B24" s="64"/>
      <c r="C24" s="74"/>
      <c r="D24" s="64"/>
      <c r="E24" s="64"/>
      <c r="F24" s="64"/>
      <c r="G24" s="64"/>
      <c r="H24" s="64"/>
      <c r="I24" s="64"/>
    </row>
    <row r="25" spans="1:12">
      <c r="A25" s="64" t="s">
        <v>110</v>
      </c>
      <c r="B25" s="64"/>
      <c r="C25" s="64">
        <f>$B$6*C11</f>
        <v>5.4574622895649547</v>
      </c>
      <c r="D25" s="64">
        <f>$B$6*D11</f>
        <v>7.16757894032924</v>
      </c>
      <c r="E25" s="64">
        <f>$B$6*E11</f>
        <v>9.4135671746339362</v>
      </c>
      <c r="F25" s="64">
        <f>$B$6*F11</f>
        <v>12.363344399702566</v>
      </c>
      <c r="G25" s="64">
        <f>$B$6*G11</f>
        <v>16.237445583597349</v>
      </c>
      <c r="H25" s="64"/>
      <c r="I25" s="64"/>
    </row>
    <row r="26" spans="1:12">
      <c r="A26" s="64"/>
      <c r="B26" s="64"/>
      <c r="C26" s="64"/>
      <c r="D26" s="64"/>
      <c r="E26" s="64"/>
      <c r="F26" s="64"/>
      <c r="G26" s="64"/>
      <c r="H26" s="64"/>
      <c r="I26" s="64"/>
    </row>
    <row r="27" spans="1:12" ht="13.85">
      <c r="A27" s="72" t="s">
        <v>111</v>
      </c>
      <c r="B27" s="73"/>
      <c r="C27" s="72">
        <v>2020</v>
      </c>
      <c r="D27" s="72">
        <v>2021</v>
      </c>
      <c r="E27" s="72">
        <v>2022</v>
      </c>
      <c r="F27" s="72">
        <v>2023</v>
      </c>
      <c r="G27" s="72">
        <v>2024</v>
      </c>
      <c r="H27" s="64"/>
      <c r="I27" s="64"/>
    </row>
    <row r="28" spans="1:12">
      <c r="A28" s="64" t="s">
        <v>112</v>
      </c>
      <c r="B28" s="64"/>
      <c r="C28" s="64">
        <f>C15</f>
        <v>26.827953887931233</v>
      </c>
      <c r="D28" s="64">
        <f>D15</f>
        <v>35.443137310202943</v>
      </c>
      <c r="E28" s="64">
        <f>E15</f>
        <v>46.669098920459817</v>
      </c>
      <c r="F28" s="64">
        <f>F15</f>
        <v>61.361767456114102</v>
      </c>
      <c r="G28" s="64">
        <f>G15</f>
        <v>80.629166962591299</v>
      </c>
      <c r="H28" s="64"/>
      <c r="I28" s="64"/>
    </row>
    <row r="29" spans="1:12">
      <c r="A29" s="64" t="s">
        <v>113</v>
      </c>
      <c r="B29" s="64"/>
      <c r="C29" s="64">
        <f>C13</f>
        <v>3.4584857767205333</v>
      </c>
      <c r="D29" s="64">
        <f>D13</f>
        <v>4.3098936385026567</v>
      </c>
      <c r="E29" s="64">
        <f>E13</f>
        <v>5.5270443738118393</v>
      </c>
      <c r="F29" s="64">
        <f>F13</f>
        <v>7.1823995249871189</v>
      </c>
      <c r="G29" s="64">
        <f>G13</f>
        <v>9.3890773771024545</v>
      </c>
      <c r="H29" s="64"/>
      <c r="I29" s="64"/>
      <c r="L29" s="78" t="s">
        <v>125</v>
      </c>
    </row>
    <row r="30" spans="1:12">
      <c r="A30" s="64" t="s">
        <v>93</v>
      </c>
      <c r="B30" s="64"/>
      <c r="C30" s="64">
        <f>C25</f>
        <v>5.4574622895649547</v>
      </c>
      <c r="D30" s="64">
        <f>D25</f>
        <v>7.16757894032924</v>
      </c>
      <c r="E30" s="64">
        <f>E25</f>
        <v>9.4135671746339362</v>
      </c>
      <c r="F30" s="64">
        <f>F25</f>
        <v>12.363344399702566</v>
      </c>
      <c r="G30" s="64">
        <f>G25</f>
        <v>16.237445583597349</v>
      </c>
      <c r="H30" s="64"/>
      <c r="I30" s="64"/>
    </row>
    <row r="31" spans="1:12">
      <c r="A31" s="64" t="s">
        <v>114</v>
      </c>
      <c r="B31" s="64"/>
      <c r="C31" s="64">
        <f>C18-B18</f>
        <v>-3.6131066041592916</v>
      </c>
      <c r="D31" s="64">
        <f>D18-C18</f>
        <v>19.242084561670104</v>
      </c>
      <c r="E31" s="64">
        <f>E18-D18</f>
        <v>25.271665245579811</v>
      </c>
      <c r="F31" s="64">
        <f>F18-E18</f>
        <v>33.190638064071265</v>
      </c>
      <c r="G31" s="64">
        <f>G18-F18</f>
        <v>43.591051258201446</v>
      </c>
      <c r="H31" s="64"/>
      <c r="I31" s="64"/>
    </row>
    <row r="32" spans="1:12">
      <c r="A32" s="64"/>
      <c r="B32" s="64"/>
      <c r="C32" s="64"/>
      <c r="D32" s="64"/>
      <c r="E32" s="64"/>
      <c r="F32" s="64"/>
      <c r="G32" s="64"/>
      <c r="H32" s="64"/>
      <c r="I32" s="64"/>
    </row>
    <row r="33" spans="1:15">
      <c r="A33" s="64" t="s">
        <v>68</v>
      </c>
      <c r="B33" s="64"/>
      <c r="C33" s="64">
        <f>C28+C29-C30-C31</f>
        <v>28.442083979246103</v>
      </c>
      <c r="D33" s="64">
        <f>D28+D29-D30-D31</f>
        <v>13.343367446706253</v>
      </c>
      <c r="E33" s="64">
        <f>E28+E29-E30-E31</f>
        <v>17.510910874057913</v>
      </c>
      <c r="F33" s="64">
        <f>F28+F29-F30-F31</f>
        <v>22.990184517327393</v>
      </c>
      <c r="G33" s="64">
        <f>G28+G29-G30-G31</f>
        <v>30.189747497894956</v>
      </c>
      <c r="H33" s="64"/>
      <c r="I33" s="64"/>
    </row>
    <row r="35" spans="1:15">
      <c r="A35" s="65" t="s">
        <v>130</v>
      </c>
      <c r="B35" s="67">
        <v>0.158</v>
      </c>
    </row>
    <row r="36" spans="1:15">
      <c r="A36" s="64" t="s">
        <v>150</v>
      </c>
      <c r="B36" s="64">
        <v>0.19</v>
      </c>
    </row>
    <row r="37" spans="1:15">
      <c r="A37" s="84" t="s">
        <v>162</v>
      </c>
      <c r="B37" s="83">
        <v>11</v>
      </c>
    </row>
    <row r="41" spans="1:15">
      <c r="A41" s="81" t="s">
        <v>138</v>
      </c>
      <c r="B41" s="64"/>
      <c r="C41" s="64"/>
      <c r="D41" s="64"/>
      <c r="E41" s="64"/>
      <c r="F41" s="64"/>
      <c r="G41" s="64"/>
      <c r="H41" s="64"/>
      <c r="I41" s="64"/>
    </row>
    <row r="42" spans="1:15">
      <c r="A42" s="87" t="s">
        <v>128</v>
      </c>
      <c r="B42" s="85"/>
      <c r="C42" s="85"/>
      <c r="D42" s="85"/>
      <c r="E42" s="85"/>
      <c r="F42" s="85"/>
      <c r="G42" s="85"/>
      <c r="H42" s="85"/>
      <c r="I42" s="95" t="s">
        <v>129</v>
      </c>
      <c r="J42" s="96"/>
      <c r="K42" s="96"/>
      <c r="L42" s="96"/>
      <c r="M42" s="96"/>
      <c r="N42" s="96"/>
      <c r="O42" s="86"/>
    </row>
    <row r="43" spans="1:15">
      <c r="A43" s="85" t="s">
        <v>115</v>
      </c>
      <c r="B43" s="85"/>
      <c r="C43" s="88">
        <v>3.5000000000000003E-2</v>
      </c>
      <c r="D43" s="85"/>
      <c r="E43" s="85"/>
      <c r="F43" s="86"/>
      <c r="G43" s="86"/>
      <c r="H43" s="85"/>
      <c r="I43" s="97" t="s">
        <v>115</v>
      </c>
      <c r="J43" s="97"/>
      <c r="K43" s="98">
        <v>1.4999999999999999E-2</v>
      </c>
      <c r="L43" s="97"/>
      <c r="M43" s="97"/>
      <c r="N43" s="97"/>
      <c r="O43" s="85"/>
    </row>
    <row r="44" spans="1:15">
      <c r="A44" s="85" t="s">
        <v>116</v>
      </c>
      <c r="B44" s="85"/>
      <c r="C44" s="85">
        <f>G33*(1+C43)/(B35-C43)</f>
        <v>254.03568016521362</v>
      </c>
      <c r="D44" s="85" t="s">
        <v>117</v>
      </c>
      <c r="E44" s="85"/>
      <c r="F44" s="85"/>
      <c r="G44" s="85"/>
      <c r="H44" s="85"/>
      <c r="I44" s="97" t="s">
        <v>116</v>
      </c>
      <c r="J44" s="97"/>
      <c r="K44" s="97">
        <f>G33*(1+K43)/(B35-K43)</f>
        <v>214.28387210044318</v>
      </c>
      <c r="L44" s="97" t="s">
        <v>117</v>
      </c>
      <c r="M44" s="97"/>
      <c r="N44" s="97"/>
      <c r="O44" s="85"/>
    </row>
    <row r="45" spans="1:15">
      <c r="A45" s="85" t="s">
        <v>118</v>
      </c>
      <c r="B45" s="85"/>
      <c r="C45" s="85">
        <f>C44/(1+B35)^5</f>
        <v>121.99777837061083</v>
      </c>
      <c r="D45" s="85" t="s">
        <v>117</v>
      </c>
      <c r="E45" s="85"/>
      <c r="F45" s="85"/>
      <c r="G45" s="85"/>
      <c r="H45" s="85"/>
      <c r="I45" s="97" t="s">
        <v>118</v>
      </c>
      <c r="J45" s="97"/>
      <c r="K45" s="97">
        <f>K44/(1+S29)^5</f>
        <v>214.28387210044318</v>
      </c>
      <c r="L45" s="97" t="s">
        <v>117</v>
      </c>
      <c r="M45" s="97"/>
      <c r="N45" s="97"/>
      <c r="O45" s="85"/>
    </row>
    <row r="46" spans="1:15">
      <c r="A46" s="85"/>
      <c r="B46" s="85"/>
      <c r="C46" s="85"/>
      <c r="D46" s="85"/>
      <c r="E46" s="85"/>
      <c r="F46" s="85"/>
      <c r="G46" s="85"/>
      <c r="H46" s="85"/>
      <c r="I46" s="97"/>
      <c r="J46" s="97"/>
      <c r="K46" s="97"/>
      <c r="L46" s="97"/>
      <c r="M46" s="97"/>
      <c r="N46" s="97"/>
      <c r="O46" s="85"/>
    </row>
    <row r="47" spans="1:15">
      <c r="A47" s="85" t="s">
        <v>119</v>
      </c>
      <c r="B47" s="89">
        <f>NPV(B35,C33:G33)+C45</f>
        <v>195.06997584838956</v>
      </c>
      <c r="C47" s="85" t="s">
        <v>117</v>
      </c>
      <c r="D47" s="85"/>
      <c r="E47" s="85"/>
      <c r="F47" s="85"/>
      <c r="G47" s="85"/>
      <c r="H47" s="85"/>
      <c r="I47" s="97" t="s">
        <v>119</v>
      </c>
      <c r="J47" s="99">
        <f>NPV(B37,C33:G33)+K45</f>
        <v>216.75807170286217</v>
      </c>
      <c r="K47" s="97" t="s">
        <v>117</v>
      </c>
      <c r="L47" s="97"/>
      <c r="M47" s="97"/>
      <c r="N47" s="97"/>
      <c r="O47" s="85"/>
    </row>
    <row r="48" spans="1:15">
      <c r="A48" s="85" t="s">
        <v>120</v>
      </c>
      <c r="B48" s="89">
        <f>B47-B36+B37</f>
        <v>205.87997584838956</v>
      </c>
      <c r="C48" s="85" t="s">
        <v>117</v>
      </c>
      <c r="D48" s="85"/>
      <c r="E48" s="85"/>
      <c r="F48" s="85"/>
      <c r="G48" s="85"/>
      <c r="H48" s="85"/>
      <c r="I48" s="97" t="s">
        <v>120</v>
      </c>
      <c r="J48" s="99">
        <f>J47-B36+B37</f>
        <v>227.56807170286217</v>
      </c>
      <c r="K48" s="97" t="s">
        <v>117</v>
      </c>
      <c r="L48" s="97"/>
      <c r="M48" s="97"/>
      <c r="N48" s="97"/>
      <c r="O48" s="85"/>
    </row>
    <row r="49" spans="1:19">
      <c r="A49" s="85" t="s">
        <v>121</v>
      </c>
      <c r="B49" s="85">
        <f>B48/G49</f>
        <v>85.179965183446242</v>
      </c>
      <c r="C49" s="85" t="s">
        <v>122</v>
      </c>
      <c r="D49" s="85"/>
      <c r="E49" s="91" t="s">
        <v>126</v>
      </c>
      <c r="F49" s="85"/>
      <c r="G49" s="85">
        <v>2.4169999999999998</v>
      </c>
      <c r="H49" s="85"/>
      <c r="I49" s="97" t="s">
        <v>121</v>
      </c>
      <c r="J49" s="97">
        <f>J48/O49</f>
        <v>94.153111999529244</v>
      </c>
      <c r="K49" s="97" t="s">
        <v>122</v>
      </c>
      <c r="L49" s="97"/>
      <c r="M49" s="95" t="s">
        <v>126</v>
      </c>
      <c r="N49" s="97"/>
      <c r="O49" s="85">
        <v>2.4169999999999998</v>
      </c>
    </row>
    <row r="50" spans="1:19">
      <c r="A50" s="85" t="s">
        <v>123</v>
      </c>
      <c r="B50" s="85">
        <v>737.75</v>
      </c>
      <c r="C50" s="85" t="s">
        <v>122</v>
      </c>
      <c r="D50" s="91" t="s">
        <v>127</v>
      </c>
      <c r="E50" s="85"/>
      <c r="F50" s="85"/>
      <c r="G50" s="85"/>
      <c r="H50" s="85"/>
      <c r="I50" s="97" t="s">
        <v>123</v>
      </c>
      <c r="J50" s="97">
        <v>737.75</v>
      </c>
      <c r="K50" s="97" t="s">
        <v>122</v>
      </c>
      <c r="L50" s="95" t="s">
        <v>127</v>
      </c>
      <c r="M50" s="97"/>
      <c r="N50" s="97"/>
      <c r="O50" s="85"/>
    </row>
    <row r="51" spans="1:19" ht="13.85">
      <c r="A51" s="100"/>
      <c r="B51" s="85"/>
      <c r="C51" s="85"/>
      <c r="D51" s="85"/>
      <c r="E51" s="85"/>
      <c r="F51" s="85"/>
      <c r="G51" s="85"/>
      <c r="H51" s="85"/>
      <c r="I51" s="85"/>
      <c r="J51" s="86"/>
      <c r="K51" s="86"/>
      <c r="L51" s="86"/>
      <c r="M51" s="86"/>
      <c r="N51" s="86"/>
      <c r="O51" s="86"/>
    </row>
    <row r="52" spans="1:19">
      <c r="A52" s="64"/>
      <c r="B52" s="64"/>
      <c r="C52" s="64"/>
      <c r="D52" s="64"/>
      <c r="E52" s="64"/>
      <c r="F52" s="64"/>
      <c r="G52" s="64"/>
      <c r="H52" s="64"/>
      <c r="I52" s="64"/>
    </row>
    <row r="53" spans="1:19">
      <c r="A53" s="64"/>
      <c r="B53" s="64"/>
      <c r="C53" s="64"/>
      <c r="D53" s="64"/>
      <c r="E53" s="64"/>
      <c r="F53" s="64"/>
      <c r="G53" s="64"/>
      <c r="H53" s="64"/>
      <c r="I53" s="64"/>
    </row>
    <row r="57" spans="1:19">
      <c r="A57" s="81" t="s">
        <v>139</v>
      </c>
    </row>
    <row r="58" spans="1:19">
      <c r="A58" s="86"/>
      <c r="B58" s="86">
        <v>2015</v>
      </c>
      <c r="C58" s="86">
        <v>2016</v>
      </c>
      <c r="D58" s="86">
        <v>2017</v>
      </c>
      <c r="E58" s="86">
        <v>2018</v>
      </c>
      <c r="F58" s="86">
        <v>2019</v>
      </c>
      <c r="G58" s="86"/>
      <c r="H58" s="86"/>
      <c r="I58" s="86"/>
      <c r="J58" s="86"/>
      <c r="K58" s="86"/>
      <c r="L58" s="86">
        <v>2015</v>
      </c>
      <c r="M58" s="86">
        <v>2016</v>
      </c>
      <c r="N58" s="86">
        <v>2017</v>
      </c>
      <c r="O58" s="86">
        <v>2018</v>
      </c>
      <c r="P58" s="86">
        <v>2019</v>
      </c>
      <c r="Q58" s="86"/>
      <c r="R58" s="86"/>
      <c r="S58" s="86"/>
    </row>
    <row r="59" spans="1:19">
      <c r="A59" s="86" t="s">
        <v>140</v>
      </c>
      <c r="B59" s="86">
        <v>0</v>
      </c>
      <c r="C59" s="86">
        <v>0</v>
      </c>
      <c r="D59" s="86">
        <v>0</v>
      </c>
      <c r="E59" s="86">
        <v>7.06</v>
      </c>
      <c r="F59" s="86">
        <v>5.18</v>
      </c>
      <c r="G59" s="86"/>
      <c r="H59" s="86" t="s">
        <v>141</v>
      </c>
      <c r="I59" s="86">
        <f>AVERAGE(B59:F59)</f>
        <v>2.4479999999999995</v>
      </c>
      <c r="J59" s="86"/>
      <c r="K59" s="86" t="s">
        <v>140</v>
      </c>
      <c r="L59" s="86">
        <v>0</v>
      </c>
      <c r="M59" s="86">
        <v>0</v>
      </c>
      <c r="N59" s="86">
        <v>0</v>
      </c>
      <c r="O59" s="86">
        <v>7.06</v>
      </c>
      <c r="P59" s="86">
        <v>5.18</v>
      </c>
      <c r="Q59" s="86"/>
      <c r="R59" s="86" t="s">
        <v>141</v>
      </c>
      <c r="S59" s="86">
        <v>14.693199999999999</v>
      </c>
    </row>
    <row r="60" spans="1:19">
      <c r="A60" s="86" t="s">
        <v>142</v>
      </c>
      <c r="B60" s="86">
        <f>'INFOBEANS TECHNOLOGIES LIMITED'!F11</f>
        <v>24.49</v>
      </c>
      <c r="C60" s="86"/>
      <c r="D60" s="86"/>
      <c r="E60" s="86"/>
      <c r="F60" s="86"/>
      <c r="G60" s="86"/>
      <c r="H60" s="86"/>
      <c r="I60" s="86"/>
      <c r="J60" s="86"/>
      <c r="K60" s="86" t="s">
        <v>142</v>
      </c>
      <c r="L60" s="86">
        <f>B60</f>
        <v>24.49</v>
      </c>
      <c r="M60" s="86"/>
      <c r="N60" s="86"/>
      <c r="O60" s="86"/>
      <c r="P60" s="86"/>
      <c r="Q60" s="86"/>
      <c r="R60" s="86"/>
      <c r="S60" s="86"/>
    </row>
    <row r="61" spans="1:19">
      <c r="A61" s="85" t="s">
        <v>118</v>
      </c>
      <c r="B61" s="85">
        <f>B60*I59</f>
        <v>59.951519999999981</v>
      </c>
      <c r="C61" s="85"/>
      <c r="D61" s="85" t="s">
        <v>117</v>
      </c>
      <c r="E61" s="85"/>
      <c r="F61" s="85"/>
      <c r="G61" s="85"/>
      <c r="H61" s="86"/>
      <c r="I61" s="86"/>
      <c r="J61" s="86"/>
      <c r="K61" s="85" t="s">
        <v>118</v>
      </c>
      <c r="L61" s="85">
        <f>L60*S59</f>
        <v>359.83646799999997</v>
      </c>
      <c r="M61" s="85"/>
      <c r="N61" s="85" t="s">
        <v>117</v>
      </c>
      <c r="O61" s="85"/>
      <c r="P61" s="85"/>
      <c r="Q61" s="85"/>
      <c r="R61" s="86"/>
      <c r="S61" s="86"/>
    </row>
    <row r="62" spans="1:19">
      <c r="A62" s="85"/>
      <c r="B62" s="85"/>
      <c r="C62" s="85"/>
      <c r="D62" s="85"/>
      <c r="E62" s="85"/>
      <c r="F62" s="85"/>
      <c r="G62" s="85"/>
      <c r="H62" s="86"/>
      <c r="I62" s="86"/>
      <c r="J62" s="86"/>
      <c r="K62" s="85"/>
      <c r="L62" s="85"/>
      <c r="M62" s="85"/>
      <c r="N62" s="85"/>
      <c r="O62" s="85"/>
      <c r="P62" s="85"/>
      <c r="Q62" s="85"/>
      <c r="R62" s="86"/>
      <c r="S62" s="86"/>
    </row>
    <row r="63" spans="1:19">
      <c r="A63" s="85" t="s">
        <v>119</v>
      </c>
      <c r="B63" s="89">
        <f>B61+NPV(B35,C33:G33)</f>
        <v>133.02371747777869</v>
      </c>
      <c r="C63" s="85" t="s">
        <v>117</v>
      </c>
      <c r="D63" s="85"/>
      <c r="E63" s="85"/>
      <c r="F63" s="85"/>
      <c r="G63" s="85"/>
      <c r="H63" s="86"/>
      <c r="I63" s="86"/>
      <c r="J63" s="86"/>
      <c r="K63" s="85" t="s">
        <v>119</v>
      </c>
      <c r="L63" s="89">
        <f>L61+NPV(B35,C33:G33)</f>
        <v>432.9086654777787</v>
      </c>
      <c r="M63" s="85" t="s">
        <v>117</v>
      </c>
      <c r="N63" s="85"/>
      <c r="O63" s="85"/>
      <c r="P63" s="85"/>
      <c r="Q63" s="85"/>
      <c r="R63" s="86"/>
      <c r="S63" s="86"/>
    </row>
    <row r="64" spans="1:19">
      <c r="A64" s="85" t="s">
        <v>120</v>
      </c>
      <c r="B64" s="89">
        <f>B63-B36+B37</f>
        <v>143.83371747777869</v>
      </c>
      <c r="C64" s="85" t="s">
        <v>117</v>
      </c>
      <c r="D64" s="85"/>
      <c r="E64" s="85"/>
      <c r="F64" s="85"/>
      <c r="G64" s="85"/>
      <c r="H64" s="86"/>
      <c r="I64" s="86"/>
      <c r="J64" s="86"/>
      <c r="K64" s="85" t="s">
        <v>120</v>
      </c>
      <c r="L64" s="89">
        <f>L63-L36+B37</f>
        <v>443.9086654777787</v>
      </c>
      <c r="M64" s="85" t="s">
        <v>117</v>
      </c>
      <c r="N64" s="85"/>
      <c r="O64" s="85"/>
      <c r="P64" s="85"/>
      <c r="Q64" s="85"/>
      <c r="R64" s="86"/>
      <c r="S64" s="86"/>
    </row>
    <row r="65" spans="1:19">
      <c r="A65" s="85" t="s">
        <v>121</v>
      </c>
      <c r="B65" s="85">
        <f>B64/G65</f>
        <v>59.50919217119516</v>
      </c>
      <c r="C65" s="85" t="s">
        <v>122</v>
      </c>
      <c r="D65" s="85"/>
      <c r="E65" s="91" t="s">
        <v>126</v>
      </c>
      <c r="F65" s="85"/>
      <c r="G65" s="85">
        <v>2.4169999999999998</v>
      </c>
      <c r="H65" s="86"/>
      <c r="I65" s="86"/>
      <c r="J65" s="86"/>
      <c r="K65" s="85" t="s">
        <v>121</v>
      </c>
      <c r="L65" s="85">
        <f>L64/Q65</f>
        <v>183.66101178228331</v>
      </c>
      <c r="M65" s="85" t="s">
        <v>122</v>
      </c>
      <c r="N65" s="85"/>
      <c r="O65" s="91" t="s">
        <v>126</v>
      </c>
      <c r="P65" s="85"/>
      <c r="Q65" s="85">
        <v>2.4169999999999998</v>
      </c>
      <c r="R65" s="86"/>
      <c r="S65" s="86"/>
    </row>
    <row r="66" spans="1:19">
      <c r="A66" s="85" t="s">
        <v>123</v>
      </c>
      <c r="B66" s="85">
        <v>737.75</v>
      </c>
      <c r="C66" s="85" t="s">
        <v>122</v>
      </c>
      <c r="D66" s="91" t="s">
        <v>127</v>
      </c>
      <c r="E66" s="85"/>
      <c r="F66" s="85"/>
      <c r="G66" s="85"/>
      <c r="H66" s="86"/>
      <c r="I66" s="86"/>
      <c r="J66" s="86"/>
      <c r="K66" s="85" t="s">
        <v>123</v>
      </c>
      <c r="L66" s="85">
        <v>737.75</v>
      </c>
      <c r="M66" s="85" t="s">
        <v>122</v>
      </c>
      <c r="N66" s="91" t="s">
        <v>127</v>
      </c>
      <c r="O66" s="85"/>
      <c r="P66" s="85"/>
      <c r="Q66" s="85"/>
      <c r="R66" s="86"/>
      <c r="S66" s="86"/>
    </row>
    <row r="70" spans="1:19">
      <c r="A70" s="82" t="s">
        <v>146</v>
      </c>
      <c r="B70" s="80"/>
    </row>
    <row r="71" spans="1:19">
      <c r="A71" s="82" t="s">
        <v>140</v>
      </c>
      <c r="B71" s="80"/>
    </row>
    <row r="72" spans="1:19">
      <c r="A72" s="93" t="s">
        <v>148</v>
      </c>
      <c r="B72" s="86">
        <f>'Industry ratios'!D9</f>
        <v>14.693200000000001</v>
      </c>
      <c r="C72" s="86"/>
      <c r="D72" s="93" t="s">
        <v>148</v>
      </c>
      <c r="E72" s="86">
        <v>2.448</v>
      </c>
      <c r="F72" s="86"/>
    </row>
    <row r="73" spans="1:19">
      <c r="A73" s="93" t="s">
        <v>147</v>
      </c>
      <c r="B73" s="86">
        <v>1600.58</v>
      </c>
      <c r="C73" s="86"/>
      <c r="D73" s="93" t="s">
        <v>147</v>
      </c>
      <c r="E73" s="86">
        <v>1400</v>
      </c>
      <c r="F73" s="86"/>
    </row>
    <row r="74" spans="1:19">
      <c r="A74" s="93" t="s">
        <v>151</v>
      </c>
      <c r="B74" s="86">
        <f>B73-B36</f>
        <v>1600.3899999999999</v>
      </c>
      <c r="C74" s="86"/>
      <c r="D74" s="93" t="s">
        <v>151</v>
      </c>
      <c r="E74" s="94">
        <f>E73-B36+B37</f>
        <v>1410.81</v>
      </c>
      <c r="F74" s="86"/>
    </row>
    <row r="75" spans="1:19">
      <c r="A75" s="93" t="s">
        <v>152</v>
      </c>
      <c r="B75" s="86">
        <f>B74/G65</f>
        <v>662.1390153082333</v>
      </c>
      <c r="C75" s="86"/>
      <c r="D75" s="93" t="s">
        <v>152</v>
      </c>
      <c r="E75" s="86">
        <f>E74/G65</f>
        <v>583.70293752585849</v>
      </c>
      <c r="F75" s="86"/>
    </row>
    <row r="76" spans="1:19">
      <c r="A76" s="85" t="s">
        <v>123</v>
      </c>
      <c r="B76" s="85">
        <v>737.75</v>
      </c>
      <c r="C76" s="86"/>
      <c r="D76" s="85" t="s">
        <v>123</v>
      </c>
      <c r="E76" s="85">
        <v>737.75</v>
      </c>
      <c r="F76" s="86"/>
    </row>
    <row r="80" spans="1:19">
      <c r="A80" s="82" t="s">
        <v>146</v>
      </c>
      <c r="B80" s="80"/>
    </row>
    <row r="81" spans="1:5">
      <c r="A81" s="82" t="s">
        <v>153</v>
      </c>
      <c r="B81" s="80"/>
    </row>
    <row r="82" spans="1:5">
      <c r="A82" s="93" t="s">
        <v>148</v>
      </c>
      <c r="B82" s="86">
        <f>'Industry ratios'!F9</f>
        <v>35.951999999999998</v>
      </c>
      <c r="C82" s="86"/>
      <c r="D82" s="93" t="s">
        <v>148</v>
      </c>
      <c r="E82" s="86">
        <v>40</v>
      </c>
    </row>
    <row r="83" spans="1:5">
      <c r="A83" s="93" t="s">
        <v>154</v>
      </c>
      <c r="B83" s="86">
        <v>20.46</v>
      </c>
      <c r="C83" s="86"/>
      <c r="D83" s="93" t="s">
        <v>154</v>
      </c>
      <c r="E83" s="86">
        <v>20.46</v>
      </c>
    </row>
    <row r="84" spans="1:5">
      <c r="A84" s="93" t="s">
        <v>155</v>
      </c>
      <c r="B84" s="86">
        <f>B82*B83</f>
        <v>735.57791999999995</v>
      </c>
      <c r="C84" s="86"/>
      <c r="D84" s="93" t="s">
        <v>155</v>
      </c>
      <c r="E84" s="86">
        <f>E82*E83</f>
        <v>818.40000000000009</v>
      </c>
    </row>
    <row r="85" spans="1:5">
      <c r="A85" s="85" t="s">
        <v>123</v>
      </c>
      <c r="B85" s="85">
        <v>737.75</v>
      </c>
      <c r="C85" s="86"/>
      <c r="D85" s="85" t="s">
        <v>123</v>
      </c>
      <c r="E85" s="85">
        <v>737.75</v>
      </c>
    </row>
    <row r="89" spans="1:5">
      <c r="A89" s="77" t="s">
        <v>156</v>
      </c>
      <c r="B89" s="80"/>
    </row>
    <row r="90" spans="1:5">
      <c r="A90" s="77" t="s">
        <v>157</v>
      </c>
      <c r="B90" s="80"/>
    </row>
    <row r="91" spans="1:5">
      <c r="A91" s="86" t="s">
        <v>158</v>
      </c>
      <c r="B91" s="86">
        <f>'Industry ratios'!H9</f>
        <v>2.2650000000000001</v>
      </c>
      <c r="C91" s="86"/>
      <c r="D91" s="86" t="s">
        <v>158</v>
      </c>
      <c r="E91" s="86">
        <f>1.09</f>
        <v>1.0900000000000001</v>
      </c>
    </row>
    <row r="92" spans="1:5">
      <c r="A92" s="86" t="s">
        <v>159</v>
      </c>
      <c r="B92" s="94">
        <v>13.87</v>
      </c>
      <c r="C92" s="86"/>
      <c r="D92" s="86" t="s">
        <v>159</v>
      </c>
      <c r="E92" s="94">
        <v>13.87</v>
      </c>
    </row>
    <row r="93" spans="1:5">
      <c r="A93" s="86" t="s">
        <v>160</v>
      </c>
      <c r="B93" s="86">
        <f>B91*B92</f>
        <v>31.41555</v>
      </c>
      <c r="C93" s="86"/>
      <c r="D93" s="86" t="s">
        <v>160</v>
      </c>
      <c r="E93" s="86">
        <f>E91*E92</f>
        <v>15.1183</v>
      </c>
    </row>
    <row r="94" spans="1:5">
      <c r="A94" s="93" t="s">
        <v>154</v>
      </c>
      <c r="B94" s="86">
        <f>B83</f>
        <v>20.46</v>
      </c>
      <c r="C94" s="86"/>
      <c r="D94" s="93" t="s">
        <v>154</v>
      </c>
      <c r="E94" s="86">
        <f>E83</f>
        <v>20.46</v>
      </c>
    </row>
    <row r="95" spans="1:5">
      <c r="A95" s="93" t="s">
        <v>155</v>
      </c>
      <c r="B95" s="86">
        <f>B93*B94</f>
        <v>642.76215300000001</v>
      </c>
      <c r="C95" s="86"/>
      <c r="D95" s="93" t="s">
        <v>155</v>
      </c>
      <c r="E95" s="86">
        <f>E93*E94</f>
        <v>309.32041800000002</v>
      </c>
    </row>
    <row r="96" spans="1:5">
      <c r="A96" s="85" t="s">
        <v>123</v>
      </c>
      <c r="B96" s="85">
        <v>737.75</v>
      </c>
      <c r="C96" s="86"/>
      <c r="D96" s="85" t="s">
        <v>123</v>
      </c>
      <c r="E96" s="85">
        <v>737.75</v>
      </c>
    </row>
    <row r="99" spans="1:5">
      <c r="A99" s="82" t="s">
        <v>146</v>
      </c>
      <c r="B99" s="80"/>
    </row>
    <row r="100" spans="1:5">
      <c r="A100" s="82" t="s">
        <v>161</v>
      </c>
      <c r="B100" s="80"/>
    </row>
    <row r="101" spans="1:5">
      <c r="A101" s="93" t="s">
        <v>148</v>
      </c>
      <c r="B101" s="86">
        <f>'Industry ratios'!J9</f>
        <v>8.3279999999999994</v>
      </c>
      <c r="C101" s="86"/>
      <c r="D101" s="93" t="s">
        <v>148</v>
      </c>
      <c r="E101" s="86">
        <f>8.16</f>
        <v>8.16</v>
      </c>
    </row>
    <row r="102" spans="1:5">
      <c r="A102" s="93" t="s">
        <v>147</v>
      </c>
      <c r="B102" s="86">
        <f>B101*'INFOBEANS TECHNOLOGIES LIMITED'!F10</f>
        <v>1002.6079199999999</v>
      </c>
      <c r="C102" s="86"/>
      <c r="D102" s="93" t="s">
        <v>147</v>
      </c>
      <c r="E102" s="86">
        <f>E101*'INFOBEANS TECHNOLOGIES LIMITED'!F10</f>
        <v>982.38240000000008</v>
      </c>
    </row>
    <row r="103" spans="1:5">
      <c r="A103" s="93" t="s">
        <v>151</v>
      </c>
      <c r="B103" s="86">
        <f>B102-B36</f>
        <v>1002.4179199999999</v>
      </c>
      <c r="C103" s="86"/>
      <c r="D103" s="93" t="s">
        <v>151</v>
      </c>
      <c r="E103" s="86">
        <f>E102-E36</f>
        <v>982.38240000000008</v>
      </c>
    </row>
    <row r="104" spans="1:5">
      <c r="A104" s="93" t="s">
        <v>152</v>
      </c>
      <c r="B104" s="86">
        <f>B103/G65</f>
        <v>414.73641704592467</v>
      </c>
      <c r="C104" s="86"/>
      <c r="D104" s="93" t="s">
        <v>152</v>
      </c>
      <c r="E104" s="86">
        <f>E103/G49</f>
        <v>406.44700041373608</v>
      </c>
    </row>
    <row r="105" spans="1:5">
      <c r="A105" s="85" t="s">
        <v>123</v>
      </c>
      <c r="B105" s="85">
        <v>737.75</v>
      </c>
      <c r="C105" s="86"/>
      <c r="D105" s="85" t="s">
        <v>123</v>
      </c>
      <c r="E105" s="85">
        <v>737.75</v>
      </c>
    </row>
  </sheetData>
  <hyperlinks>
    <hyperlink ref="L29" r:id="rId1" xr:uid="{B2BFB6DA-AEA0-4A2A-B129-9E7877E3C1D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R159"/>
  <sheetViews>
    <sheetView topLeftCell="A124" zoomScale="70" zoomScaleNormal="70" workbookViewId="0">
      <selection activeCell="A141" sqref="A141:A158"/>
    </sheetView>
  </sheetViews>
  <sheetFormatPr defaultColWidth="12.6640625" defaultRowHeight="15.7" customHeight="1"/>
  <cols>
    <col min="1" max="1" width="23.88671875" customWidth="1"/>
    <col min="2" max="6" width="12.77734375" bestFit="1" customWidth="1"/>
    <col min="7" max="7" width="16.21875" customWidth="1"/>
    <col min="8" max="9" width="12.77734375" bestFit="1" customWidth="1"/>
    <col min="10" max="10" width="27.21875" customWidth="1"/>
    <col min="11" max="12" width="12.77734375" bestFit="1" customWidth="1"/>
    <col min="13" max="14" width="14" bestFit="1" customWidth="1"/>
    <col min="15" max="15" width="13.21875" bestFit="1" customWidth="1"/>
    <col min="16" max="17" width="12.77734375" bestFit="1" customWidth="1"/>
    <col min="20" max="20" width="21.6640625" customWidth="1"/>
  </cols>
  <sheetData>
    <row r="1" spans="1:44" ht="12.7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27" t="s">
        <v>20</v>
      </c>
    </row>
    <row r="2" spans="1:44" ht="15.7" customHeight="1">
      <c r="A2" s="28">
        <v>15</v>
      </c>
      <c r="B2" s="28">
        <v>2643.89</v>
      </c>
      <c r="C2" s="28">
        <v>424</v>
      </c>
      <c r="D2" s="28">
        <v>420.61</v>
      </c>
      <c r="E2" s="28">
        <v>372.15</v>
      </c>
      <c r="F2" s="28">
        <v>311.11</v>
      </c>
      <c r="G2" s="28">
        <v>2618.63</v>
      </c>
      <c r="H2" s="28">
        <v>3.38</v>
      </c>
      <c r="I2" s="28">
        <v>1050</v>
      </c>
      <c r="J2" s="28">
        <v>6.74</v>
      </c>
      <c r="K2" s="29"/>
      <c r="L2" s="28">
        <v>155.37</v>
      </c>
      <c r="M2" s="28">
        <v>613.04</v>
      </c>
      <c r="N2" s="28">
        <v>524.02</v>
      </c>
      <c r="O2" s="28">
        <v>112.2</v>
      </c>
      <c r="P2" s="28">
        <v>1087.94</v>
      </c>
      <c r="Q2" s="29"/>
      <c r="R2" s="28">
        <v>1714.48</v>
      </c>
      <c r="S2" s="28">
        <v>667.33</v>
      </c>
      <c r="T2" s="28">
        <v>164.55</v>
      </c>
      <c r="U2" s="28">
        <v>1714.48</v>
      </c>
    </row>
    <row r="3" spans="1:44" ht="15.7" customHeight="1">
      <c r="A3" s="28">
        <v>16</v>
      </c>
      <c r="B3" s="28">
        <v>3150.7</v>
      </c>
      <c r="C3" s="28">
        <v>603.9</v>
      </c>
      <c r="D3" s="28">
        <v>601.4</v>
      </c>
      <c r="E3" s="28">
        <v>542.5</v>
      </c>
      <c r="F3" s="28">
        <v>418.6</v>
      </c>
      <c r="G3" s="28">
        <v>3066.2</v>
      </c>
      <c r="H3" s="28">
        <v>2.5</v>
      </c>
      <c r="I3" s="28">
        <v>300</v>
      </c>
      <c r="J3" s="28">
        <v>789.4</v>
      </c>
      <c r="K3" s="29"/>
      <c r="L3" s="28">
        <v>112.7</v>
      </c>
      <c r="M3" s="28">
        <v>760.6</v>
      </c>
      <c r="N3" s="28">
        <v>574.6</v>
      </c>
      <c r="O3" s="28">
        <v>80.900000000000006</v>
      </c>
      <c r="P3" s="28">
        <v>1133.4000000000001</v>
      </c>
      <c r="Q3" s="29"/>
      <c r="R3" s="28">
        <v>1850</v>
      </c>
      <c r="S3" s="28">
        <v>711.7</v>
      </c>
      <c r="T3" s="28">
        <v>212.4</v>
      </c>
      <c r="U3" s="28">
        <v>1850</v>
      </c>
    </row>
    <row r="4" spans="1:44" ht="15.7" customHeight="1">
      <c r="A4" s="28">
        <v>17</v>
      </c>
      <c r="B4" s="28">
        <v>3306.5</v>
      </c>
      <c r="C4" s="28">
        <v>643.79999999999995</v>
      </c>
      <c r="D4" s="28">
        <v>641.70000000000005</v>
      </c>
      <c r="E4" s="28">
        <v>579.20000000000005</v>
      </c>
      <c r="F4" s="28">
        <v>425</v>
      </c>
      <c r="G4" s="28">
        <v>3248.3</v>
      </c>
      <c r="H4" s="28">
        <v>2.1</v>
      </c>
      <c r="I4" s="28">
        <v>20.3</v>
      </c>
      <c r="J4" s="28">
        <v>1511.2</v>
      </c>
      <c r="K4" s="29"/>
      <c r="L4" s="29"/>
      <c r="M4" s="28">
        <v>619</v>
      </c>
      <c r="N4" s="28">
        <v>561.20000000000005</v>
      </c>
      <c r="O4" s="28">
        <v>62.2</v>
      </c>
      <c r="P4" s="28">
        <v>1410.2</v>
      </c>
      <c r="Q4" s="29"/>
      <c r="R4" s="28">
        <v>2150.5</v>
      </c>
      <c r="S4" s="28">
        <v>711</v>
      </c>
      <c r="T4" s="28">
        <v>133</v>
      </c>
      <c r="U4" s="28">
        <v>2150.5</v>
      </c>
    </row>
    <row r="5" spans="1:44" ht="15.7" customHeight="1">
      <c r="A5" s="28">
        <v>18</v>
      </c>
      <c r="B5" s="28">
        <v>3940.5</v>
      </c>
      <c r="C5" s="28">
        <v>769</v>
      </c>
      <c r="D5" s="28">
        <v>766.6</v>
      </c>
      <c r="E5" s="28">
        <v>677.8</v>
      </c>
      <c r="F5" s="28">
        <v>506.6</v>
      </c>
      <c r="G5" s="28">
        <v>3747.1</v>
      </c>
      <c r="H5" s="28">
        <v>2.4</v>
      </c>
      <c r="I5" s="28">
        <v>20.5</v>
      </c>
      <c r="J5" s="28">
        <v>1944.8</v>
      </c>
      <c r="K5" s="29"/>
      <c r="L5" s="29"/>
      <c r="M5" s="28">
        <v>625.79999999999995</v>
      </c>
      <c r="N5" s="28">
        <v>553.1</v>
      </c>
      <c r="O5" s="29"/>
      <c r="P5" s="28">
        <v>1811</v>
      </c>
      <c r="Q5" s="28">
        <v>951.3</v>
      </c>
      <c r="R5" s="28">
        <v>2592.9</v>
      </c>
      <c r="S5" s="28">
        <v>143.69999999999999</v>
      </c>
      <c r="T5" s="28">
        <v>155.30000000000001</v>
      </c>
      <c r="U5" s="28">
        <v>2592.9</v>
      </c>
    </row>
    <row r="6" spans="1:44" ht="15.7" customHeight="1">
      <c r="A6" s="28">
        <v>19</v>
      </c>
      <c r="B6" s="28">
        <v>5301.1</v>
      </c>
      <c r="C6" s="28">
        <v>1137.5</v>
      </c>
      <c r="D6" s="28">
        <v>1135.5999999999999</v>
      </c>
      <c r="E6" s="28">
        <v>1031.4000000000001</v>
      </c>
      <c r="F6" s="28">
        <v>768.4</v>
      </c>
      <c r="G6" s="28">
        <v>5078.3</v>
      </c>
      <c r="H6" s="28">
        <v>1.9</v>
      </c>
      <c r="I6" s="28">
        <v>20.8</v>
      </c>
      <c r="J6" s="28">
        <v>2415.1</v>
      </c>
      <c r="K6" s="29"/>
      <c r="L6" s="28">
        <v>42.6</v>
      </c>
      <c r="M6" s="28">
        <v>783.4</v>
      </c>
      <c r="N6" s="28">
        <v>565.4</v>
      </c>
      <c r="O6" s="29"/>
      <c r="P6" s="28">
        <v>2271.4</v>
      </c>
      <c r="Q6" s="28">
        <v>1017.3</v>
      </c>
      <c r="R6" s="28">
        <v>3225.3</v>
      </c>
      <c r="S6" s="28">
        <v>191.6</v>
      </c>
      <c r="T6" s="28">
        <v>170.2</v>
      </c>
      <c r="U6" s="28">
        <v>3225.3</v>
      </c>
    </row>
    <row r="7" spans="1:44" ht="15.7" customHeight="1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4"/>
      <c r="N7" s="19"/>
      <c r="O7" s="19"/>
      <c r="P7" s="19"/>
      <c r="Q7" s="19"/>
      <c r="R7" s="5"/>
      <c r="S7" s="19"/>
      <c r="T7" s="19"/>
      <c r="U7" s="19"/>
      <c r="V7" s="19"/>
    </row>
    <row r="8" spans="1:44" ht="15.7" customHeight="1" thickBot="1"/>
    <row r="9" spans="1:44" ht="15.7" customHeight="1" thickBot="1">
      <c r="A9" s="423" t="s">
        <v>0</v>
      </c>
      <c r="B9" s="424">
        <v>15</v>
      </c>
      <c r="C9" s="424">
        <v>16</v>
      </c>
      <c r="D9" s="424">
        <v>17</v>
      </c>
      <c r="E9" s="424">
        <v>18</v>
      </c>
      <c r="F9" s="425">
        <v>19</v>
      </c>
    </row>
    <row r="10" spans="1:44" ht="15.7" customHeight="1" thickTop="1" thickBot="1">
      <c r="A10" s="426" t="s">
        <v>1</v>
      </c>
      <c r="B10" s="419">
        <v>2643.89</v>
      </c>
      <c r="C10" s="419">
        <v>3150.7</v>
      </c>
      <c r="D10" s="419">
        <v>3306.5</v>
      </c>
      <c r="E10" s="419">
        <v>3940.5</v>
      </c>
      <c r="F10" s="427">
        <v>5301.1</v>
      </c>
    </row>
    <row r="11" spans="1:44" ht="15.7" customHeight="1" thickTop="1" thickBot="1">
      <c r="A11" s="426" t="s">
        <v>2</v>
      </c>
      <c r="B11" s="419">
        <v>424</v>
      </c>
      <c r="C11" s="419">
        <v>603.9</v>
      </c>
      <c r="D11" s="419">
        <v>643.79999999999995</v>
      </c>
      <c r="E11" s="419">
        <v>769</v>
      </c>
      <c r="F11" s="427">
        <v>1137.5</v>
      </c>
      <c r="M11" s="444" t="s">
        <v>21</v>
      </c>
      <c r="N11" s="445"/>
      <c r="O11" s="445"/>
      <c r="P11" s="446">
        <v>15</v>
      </c>
      <c r="Q11" s="446">
        <v>16</v>
      </c>
      <c r="R11" s="446">
        <v>17</v>
      </c>
      <c r="S11" s="446">
        <v>18</v>
      </c>
      <c r="T11" s="446">
        <v>19</v>
      </c>
    </row>
    <row r="12" spans="1:44" ht="15.7" customHeight="1" thickTop="1" thickBot="1">
      <c r="A12" s="426" t="s">
        <v>3</v>
      </c>
      <c r="B12" s="419">
        <v>420.61</v>
      </c>
      <c r="C12" s="419">
        <v>601.4</v>
      </c>
      <c r="D12" s="419">
        <v>641.70000000000005</v>
      </c>
      <c r="E12" s="419">
        <v>766.6</v>
      </c>
      <c r="F12" s="427">
        <v>1135.5999999999999</v>
      </c>
      <c r="M12" s="527" t="s">
        <v>22</v>
      </c>
      <c r="N12" s="520"/>
      <c r="O12" s="520"/>
      <c r="P12" s="520"/>
      <c r="Q12" s="520"/>
      <c r="R12" s="520"/>
      <c r="S12" s="520"/>
      <c r="T12" s="520"/>
      <c r="AR12" s="19"/>
    </row>
    <row r="13" spans="1:44" ht="15.7" customHeight="1" thickTop="1" thickBot="1">
      <c r="A13" s="426" t="s">
        <v>4</v>
      </c>
      <c r="B13" s="419">
        <v>372.15</v>
      </c>
      <c r="C13" s="419">
        <v>542.5</v>
      </c>
      <c r="D13" s="419">
        <v>579.20000000000005</v>
      </c>
      <c r="E13" s="419">
        <v>677.8</v>
      </c>
      <c r="F13" s="427">
        <v>1031.4000000000001</v>
      </c>
      <c r="M13" s="522" t="s">
        <v>24</v>
      </c>
      <c r="N13" s="520"/>
      <c r="O13" s="520"/>
      <c r="P13" s="447"/>
      <c r="Q13" s="447"/>
      <c r="R13" s="447"/>
      <c r="S13" s="447"/>
      <c r="T13" s="447"/>
    </row>
    <row r="14" spans="1:44" ht="15.7" customHeight="1" thickTop="1" thickBot="1">
      <c r="A14" s="426" t="s">
        <v>5</v>
      </c>
      <c r="B14" s="419">
        <v>311.11</v>
      </c>
      <c r="C14" s="419">
        <v>418.6</v>
      </c>
      <c r="D14" s="419">
        <v>425</v>
      </c>
      <c r="E14" s="419">
        <v>506.6</v>
      </c>
      <c r="F14" s="427">
        <v>768.4</v>
      </c>
      <c r="M14" s="526" t="s">
        <v>25</v>
      </c>
      <c r="N14" s="520"/>
      <c r="O14" s="448"/>
      <c r="P14" s="449">
        <v>2643.89</v>
      </c>
      <c r="Q14" s="449">
        <v>3150.7</v>
      </c>
      <c r="R14" s="449">
        <v>3306.5</v>
      </c>
      <c r="S14" s="449">
        <v>3940.5</v>
      </c>
      <c r="T14" s="449">
        <v>5301.1</v>
      </c>
    </row>
    <row r="15" spans="1:44" ht="15.7" customHeight="1" thickTop="1" thickBot="1">
      <c r="A15" s="426" t="s">
        <v>6</v>
      </c>
      <c r="B15" s="419">
        <v>2618.63</v>
      </c>
      <c r="C15" s="419">
        <v>3066.2</v>
      </c>
      <c r="D15" s="419">
        <v>3248.3</v>
      </c>
      <c r="E15" s="419">
        <v>3747.1</v>
      </c>
      <c r="F15" s="427">
        <v>5078.3</v>
      </c>
      <c r="M15" s="448"/>
      <c r="N15" s="522" t="s">
        <v>27</v>
      </c>
      <c r="O15" s="520"/>
      <c r="P15" s="450">
        <f t="shared" ref="P15:T15" si="0">P14-P16</f>
        <v>25.259999999999764</v>
      </c>
      <c r="Q15" s="450">
        <f t="shared" si="0"/>
        <v>84.5</v>
      </c>
      <c r="R15" s="450">
        <f t="shared" si="0"/>
        <v>58.199999999999818</v>
      </c>
      <c r="S15" s="450">
        <f t="shared" si="0"/>
        <v>193.40000000000009</v>
      </c>
      <c r="T15" s="450">
        <f t="shared" si="0"/>
        <v>222.80000000000018</v>
      </c>
      <c r="X15" s="463" t="s">
        <v>21</v>
      </c>
      <c r="Y15" s="464"/>
      <c r="Z15" s="464"/>
      <c r="AA15" s="465">
        <v>15</v>
      </c>
      <c r="AB15" s="465">
        <v>16</v>
      </c>
      <c r="AC15" s="465">
        <v>17</v>
      </c>
      <c r="AD15" s="465">
        <v>18</v>
      </c>
      <c r="AE15" s="465">
        <v>19</v>
      </c>
    </row>
    <row r="16" spans="1:44" ht="15.7" customHeight="1" thickTop="1" thickBot="1">
      <c r="A16" s="426" t="s">
        <v>7</v>
      </c>
      <c r="B16" s="419">
        <v>3.38</v>
      </c>
      <c r="C16" s="419">
        <v>2.5</v>
      </c>
      <c r="D16" s="419">
        <v>2.1</v>
      </c>
      <c r="E16" s="419">
        <v>2.4</v>
      </c>
      <c r="F16" s="427">
        <v>1.9</v>
      </c>
      <c r="M16" s="526" t="s">
        <v>29</v>
      </c>
      <c r="N16" s="520"/>
      <c r="O16" s="520"/>
      <c r="P16" s="449">
        <v>2618.63</v>
      </c>
      <c r="Q16" s="449">
        <v>3066.2</v>
      </c>
      <c r="R16" s="449">
        <v>3248.3</v>
      </c>
      <c r="S16" s="449">
        <v>3747.1</v>
      </c>
      <c r="T16" s="449">
        <v>5078.3</v>
      </c>
      <c r="X16" s="527" t="s">
        <v>23</v>
      </c>
      <c r="Y16" s="520"/>
      <c r="Z16" s="520"/>
      <c r="AA16" s="520"/>
      <c r="AB16" s="520"/>
      <c r="AC16" s="520"/>
      <c r="AD16" s="520"/>
      <c r="AE16" s="520"/>
      <c r="AG16" s="19"/>
    </row>
    <row r="17" spans="1:32" ht="15.7" customHeight="1" thickTop="1" thickBot="1">
      <c r="A17" s="426" t="s">
        <v>8</v>
      </c>
      <c r="B17" s="419">
        <v>1050</v>
      </c>
      <c r="C17" s="419">
        <v>300</v>
      </c>
      <c r="D17" s="419">
        <v>20.3</v>
      </c>
      <c r="E17" s="419">
        <v>20.5</v>
      </c>
      <c r="F17" s="427">
        <v>20.8</v>
      </c>
      <c r="M17" s="448"/>
      <c r="N17" s="522" t="s">
        <v>31</v>
      </c>
      <c r="O17" s="520"/>
      <c r="P17" s="450">
        <f t="shared" ref="P17:T17" si="1">P14-P19</f>
        <v>2194.63</v>
      </c>
      <c r="Q17" s="450">
        <f t="shared" si="1"/>
        <v>2462.2999999999997</v>
      </c>
      <c r="R17" s="450">
        <f t="shared" si="1"/>
        <v>2604.5</v>
      </c>
      <c r="S17" s="450">
        <f t="shared" si="1"/>
        <v>2978.1</v>
      </c>
      <c r="T17" s="450">
        <f t="shared" si="1"/>
        <v>3940.8</v>
      </c>
      <c r="X17" s="447"/>
      <c r="Y17" s="447"/>
      <c r="Z17" s="447"/>
      <c r="AA17" s="447"/>
      <c r="AB17" s="447"/>
      <c r="AC17" s="447"/>
      <c r="AD17" s="447"/>
      <c r="AE17" s="447"/>
    </row>
    <row r="18" spans="1:32" ht="15.7" customHeight="1" thickTop="1" thickBot="1">
      <c r="A18" s="426" t="s">
        <v>9</v>
      </c>
      <c r="B18" s="419">
        <v>6.74</v>
      </c>
      <c r="C18" s="419">
        <v>789.4</v>
      </c>
      <c r="D18" s="419">
        <v>1511.2</v>
      </c>
      <c r="E18" s="419">
        <v>1944.8</v>
      </c>
      <c r="F18" s="427">
        <v>2415.1</v>
      </c>
      <c r="M18" s="448"/>
      <c r="N18" s="522" t="s">
        <v>33</v>
      </c>
      <c r="O18" s="520"/>
      <c r="P18" s="451">
        <f t="shared" ref="P18:T18" si="2">P17/P14</f>
        <v>0.83007613781208756</v>
      </c>
      <c r="Q18" s="451">
        <f t="shared" si="2"/>
        <v>0.78150887104452971</v>
      </c>
      <c r="R18" s="451">
        <f t="shared" si="2"/>
        <v>0.78769091184031448</v>
      </c>
      <c r="S18" s="451">
        <f t="shared" si="2"/>
        <v>0.75576703464027406</v>
      </c>
      <c r="T18" s="451">
        <f t="shared" si="2"/>
        <v>0.7433928807228688</v>
      </c>
      <c r="X18" s="466" t="s">
        <v>26</v>
      </c>
      <c r="Y18" s="447"/>
      <c r="Z18" s="447"/>
      <c r="AA18" s="447"/>
      <c r="AB18" s="447"/>
      <c r="AC18" s="447"/>
      <c r="AD18" s="447"/>
      <c r="AE18" s="447"/>
    </row>
    <row r="19" spans="1:32" ht="15.7" customHeight="1" thickTop="1" thickBot="1">
      <c r="A19" s="426" t="s">
        <v>10</v>
      </c>
      <c r="B19" s="420"/>
      <c r="C19" s="420"/>
      <c r="D19" s="420"/>
      <c r="E19" s="420"/>
      <c r="F19" s="428"/>
      <c r="M19" s="522" t="s">
        <v>35</v>
      </c>
      <c r="N19" s="520"/>
      <c r="O19" s="520"/>
      <c r="P19" s="450">
        <f t="shared" ref="P19:T19" si="3">P21+P15</f>
        <v>449.25999999999976</v>
      </c>
      <c r="Q19" s="450">
        <f t="shared" si="3"/>
        <v>688.4</v>
      </c>
      <c r="R19" s="450">
        <f t="shared" si="3"/>
        <v>701.99999999999977</v>
      </c>
      <c r="S19" s="450">
        <f t="shared" si="3"/>
        <v>962.40000000000009</v>
      </c>
      <c r="T19" s="450">
        <f t="shared" si="3"/>
        <v>1360.3000000000002</v>
      </c>
      <c r="X19" s="519" t="s">
        <v>28</v>
      </c>
      <c r="Y19" s="520"/>
      <c r="Z19" s="520"/>
      <c r="AA19" s="449">
        <v>524.02</v>
      </c>
      <c r="AB19" s="449">
        <v>574.6</v>
      </c>
      <c r="AC19" s="449">
        <v>561.20000000000005</v>
      </c>
      <c r="AD19" s="449">
        <v>553.1</v>
      </c>
      <c r="AE19" s="449">
        <v>565.4</v>
      </c>
    </row>
    <row r="20" spans="1:32" ht="15.7" customHeight="1" thickTop="1" thickBot="1">
      <c r="A20" s="426" t="s">
        <v>11</v>
      </c>
      <c r="B20" s="419">
        <v>155.37</v>
      </c>
      <c r="C20" s="419">
        <v>112.7</v>
      </c>
      <c r="D20" s="420"/>
      <c r="E20" s="420"/>
      <c r="F20" s="427">
        <v>42.6</v>
      </c>
      <c r="M20" s="448"/>
      <c r="N20" s="522" t="s">
        <v>37</v>
      </c>
      <c r="O20" s="520"/>
      <c r="P20" s="451">
        <f t="shared" ref="P20:T20" si="4">P19/P14</f>
        <v>0.16992386218791242</v>
      </c>
      <c r="Q20" s="451">
        <f t="shared" si="4"/>
        <v>0.21849112895547021</v>
      </c>
      <c r="R20" s="451">
        <f t="shared" si="4"/>
        <v>0.21230908815968541</v>
      </c>
      <c r="S20" s="451">
        <f t="shared" si="4"/>
        <v>0.24423296535972594</v>
      </c>
      <c r="T20" s="451">
        <f t="shared" si="4"/>
        <v>0.2566071192771312</v>
      </c>
      <c r="X20" s="467" t="s">
        <v>30</v>
      </c>
      <c r="Y20" s="447"/>
      <c r="Z20" s="447"/>
      <c r="AA20" s="451">
        <f>P14/AA19</f>
        <v>5.0453990305713523</v>
      </c>
      <c r="AB20" s="451">
        <f>Q14/AB19</f>
        <v>5.4832927253741728</v>
      </c>
      <c r="AC20" s="451">
        <f>R14/AC19</f>
        <v>5.89183891660727</v>
      </c>
      <c r="AD20" s="451">
        <f>S14/AD19</f>
        <v>7.1243898029289454</v>
      </c>
      <c r="AE20" s="451">
        <f>T14/AE19</f>
        <v>9.3758401131941991</v>
      </c>
    </row>
    <row r="21" spans="1:32" ht="15.7" customHeight="1" thickTop="1" thickBot="1">
      <c r="A21" s="426" t="s">
        <v>12</v>
      </c>
      <c r="B21" s="419">
        <v>613.04</v>
      </c>
      <c r="C21" s="419">
        <v>760.6</v>
      </c>
      <c r="D21" s="419">
        <v>619</v>
      </c>
      <c r="E21" s="419">
        <v>625.79999999999995</v>
      </c>
      <c r="F21" s="427">
        <v>783.4</v>
      </c>
      <c r="M21" s="526" t="s">
        <v>39</v>
      </c>
      <c r="N21" s="520"/>
      <c r="O21" s="448"/>
      <c r="P21" s="449">
        <v>424</v>
      </c>
      <c r="Q21" s="449">
        <v>603.9</v>
      </c>
      <c r="R21" s="449">
        <v>643.79999999999995</v>
      </c>
      <c r="S21" s="449">
        <v>769</v>
      </c>
      <c r="T21" s="449">
        <v>1137.5</v>
      </c>
      <c r="X21" s="519" t="s">
        <v>32</v>
      </c>
      <c r="Y21" s="520"/>
      <c r="Z21" s="520"/>
      <c r="AA21" s="450">
        <f>B25</f>
        <v>0</v>
      </c>
      <c r="AB21" s="450">
        <f>C25</f>
        <v>0</v>
      </c>
      <c r="AC21" s="450">
        <f>D25</f>
        <v>0</v>
      </c>
      <c r="AD21" s="450">
        <f>E25</f>
        <v>951.3</v>
      </c>
      <c r="AE21" s="450">
        <f>F25</f>
        <v>1017.3</v>
      </c>
    </row>
    <row r="22" spans="1:32" ht="15.7" customHeight="1" thickTop="1" thickBot="1">
      <c r="A22" s="426" t="s">
        <v>13</v>
      </c>
      <c r="B22" s="419">
        <v>524.02</v>
      </c>
      <c r="C22" s="419">
        <v>574.6</v>
      </c>
      <c r="D22" s="419">
        <v>561.20000000000005</v>
      </c>
      <c r="E22" s="419">
        <v>553.1</v>
      </c>
      <c r="F22" s="427">
        <v>565.4</v>
      </c>
      <c r="M22" s="448"/>
      <c r="N22" s="522" t="s">
        <v>41</v>
      </c>
      <c r="O22" s="520"/>
      <c r="P22" s="451">
        <f t="shared" ref="P22:T22" si="5">P21/P14</f>
        <v>0.16036975819720187</v>
      </c>
      <c r="Q22" s="451">
        <f t="shared" si="5"/>
        <v>0.19167169200495129</v>
      </c>
      <c r="R22" s="451">
        <f t="shared" si="5"/>
        <v>0.19470739452593375</v>
      </c>
      <c r="S22" s="451">
        <f t="shared" si="5"/>
        <v>0.1951528993782515</v>
      </c>
      <c r="T22" s="451">
        <f t="shared" si="5"/>
        <v>0.21457810643074077</v>
      </c>
      <c r="X22" s="519" t="s">
        <v>34</v>
      </c>
      <c r="Y22" s="520"/>
      <c r="Z22" s="520"/>
      <c r="AA22" s="449">
        <v>112.2</v>
      </c>
      <c r="AB22" s="449">
        <v>80.900000000000006</v>
      </c>
      <c r="AC22" s="449">
        <v>62.2</v>
      </c>
      <c r="AD22" s="468"/>
      <c r="AE22" s="468"/>
    </row>
    <row r="23" spans="1:32" ht="15.7" customHeight="1" thickTop="1" thickBot="1">
      <c r="A23" s="426" t="s">
        <v>14</v>
      </c>
      <c r="B23" s="419">
        <v>112.2</v>
      </c>
      <c r="C23" s="419">
        <v>80.900000000000006</v>
      </c>
      <c r="D23" s="419">
        <v>62.2</v>
      </c>
      <c r="E23" s="420"/>
      <c r="F23" s="428"/>
      <c r="M23" s="448"/>
      <c r="N23" s="522" t="s">
        <v>42</v>
      </c>
      <c r="O23" s="520"/>
      <c r="P23" s="450">
        <f t="shared" ref="P23:T23" si="6">P21-P24-P28</f>
        <v>9.9999999999864642E-3</v>
      </c>
      <c r="Q23" s="450">
        <f t="shared" si="6"/>
        <v>0</v>
      </c>
      <c r="R23" s="450">
        <f t="shared" si="6"/>
        <v>-9.1038288019262836E-14</v>
      </c>
      <c r="S23" s="450">
        <f t="shared" si="6"/>
        <v>-2.2648549702353193E-14</v>
      </c>
      <c r="T23" s="450">
        <f t="shared" si="6"/>
        <v>9.1038288019262836E-14</v>
      </c>
      <c r="X23" s="467" t="s">
        <v>36</v>
      </c>
      <c r="Y23" s="447"/>
      <c r="Z23" s="447"/>
      <c r="AA23" s="451">
        <f>AA22/AA29</f>
        <v>6.5442583173906957E-2</v>
      </c>
      <c r="AB23" s="451">
        <f>AB22/AB29</f>
        <v>4.372972972972973E-2</v>
      </c>
      <c r="AC23" s="451">
        <f>AC22/AC29</f>
        <v>2.8923506161357825E-2</v>
      </c>
      <c r="AD23" s="451">
        <f>AD22/AD29</f>
        <v>0</v>
      </c>
      <c r="AE23" s="451">
        <f>AE22/AE29</f>
        <v>0</v>
      </c>
    </row>
    <row r="24" spans="1:32" ht="15.7" customHeight="1" thickTop="1" thickBot="1">
      <c r="A24" s="426" t="s">
        <v>15</v>
      </c>
      <c r="B24" s="419">
        <v>1087.94</v>
      </c>
      <c r="C24" s="419">
        <v>1133.4000000000001</v>
      </c>
      <c r="D24" s="419">
        <v>1410.2</v>
      </c>
      <c r="E24" s="419">
        <v>1811</v>
      </c>
      <c r="F24" s="427">
        <v>2271.4</v>
      </c>
      <c r="M24" s="526" t="s">
        <v>44</v>
      </c>
      <c r="N24" s="520"/>
      <c r="O24" s="448"/>
      <c r="P24" s="449">
        <v>420.61</v>
      </c>
      <c r="Q24" s="449">
        <v>601.4</v>
      </c>
      <c r="R24" s="449">
        <v>641.70000000000005</v>
      </c>
      <c r="S24" s="449">
        <v>766.6</v>
      </c>
      <c r="T24" s="449">
        <v>1135.5999999999999</v>
      </c>
      <c r="X24" s="519" t="s">
        <v>38</v>
      </c>
      <c r="Y24" s="520"/>
      <c r="Z24" s="520"/>
      <c r="AA24" s="449">
        <v>667.33</v>
      </c>
      <c r="AB24" s="449">
        <v>711.7</v>
      </c>
      <c r="AC24" s="449">
        <v>711</v>
      </c>
      <c r="AD24" s="449">
        <v>143.69999999999999</v>
      </c>
      <c r="AE24" s="449">
        <v>191.6</v>
      </c>
    </row>
    <row r="25" spans="1:32" ht="15.7" customHeight="1" thickTop="1" thickBot="1">
      <c r="A25" s="426" t="s">
        <v>16</v>
      </c>
      <c r="B25" s="420"/>
      <c r="C25" s="420"/>
      <c r="D25" s="420"/>
      <c r="E25" s="419">
        <v>951.3</v>
      </c>
      <c r="F25" s="427">
        <v>1017.3</v>
      </c>
      <c r="M25" s="448"/>
      <c r="N25" s="522" t="s">
        <v>45</v>
      </c>
      <c r="O25" s="520"/>
      <c r="P25" s="450">
        <f t="shared" ref="P25:T25" si="7">P21-P23-P26</f>
        <v>48.460000000000036</v>
      </c>
      <c r="Q25" s="450">
        <f t="shared" si="7"/>
        <v>58.899999999999977</v>
      </c>
      <c r="R25" s="450">
        <f t="shared" si="7"/>
        <v>62.5</v>
      </c>
      <c r="S25" s="450">
        <f t="shared" si="7"/>
        <v>88.800000000000068</v>
      </c>
      <c r="T25" s="450">
        <f t="shared" si="7"/>
        <v>104.19999999999982</v>
      </c>
      <c r="X25" s="467" t="s">
        <v>40</v>
      </c>
      <c r="Y25" s="447"/>
      <c r="Z25" s="447"/>
      <c r="AA25" s="451">
        <f>P14/AA24</f>
        <v>3.9618929165480341</v>
      </c>
      <c r="AB25" s="451">
        <f>Q14/AB24</f>
        <v>4.4270057608542919</v>
      </c>
      <c r="AC25" s="451">
        <f>R14/AC24</f>
        <v>4.6504922644163154</v>
      </c>
      <c r="AD25" s="451">
        <f>S14/AD24</f>
        <v>27.421711899791234</v>
      </c>
      <c r="AE25" s="451">
        <f>T14/AE24</f>
        <v>27.667536534446768</v>
      </c>
    </row>
    <row r="26" spans="1:32" ht="17.3" thickTop="1" thickBot="1">
      <c r="A26" s="426" t="s">
        <v>17</v>
      </c>
      <c r="B26" s="419">
        <v>1714.48</v>
      </c>
      <c r="C26" s="419">
        <v>1850</v>
      </c>
      <c r="D26" s="419">
        <v>2150.5</v>
      </c>
      <c r="E26" s="419">
        <v>2592.9</v>
      </c>
      <c r="F26" s="427">
        <v>3225.3</v>
      </c>
      <c r="M26" s="522" t="s">
        <v>47</v>
      </c>
      <c r="N26" s="520"/>
      <c r="O26" s="448"/>
      <c r="P26" s="450">
        <f t="shared" ref="P26:T26" si="8">P28+P29</f>
        <v>375.53</v>
      </c>
      <c r="Q26" s="450">
        <f t="shared" si="8"/>
        <v>545</v>
      </c>
      <c r="R26" s="450">
        <f t="shared" si="8"/>
        <v>581.30000000000007</v>
      </c>
      <c r="S26" s="450">
        <f t="shared" si="8"/>
        <v>680.19999999999993</v>
      </c>
      <c r="T26" s="450">
        <f t="shared" si="8"/>
        <v>1033.3000000000002</v>
      </c>
      <c r="X26" s="519" t="s">
        <v>16</v>
      </c>
      <c r="Y26" s="520"/>
      <c r="Z26" s="447"/>
      <c r="AA26" s="468"/>
      <c r="AB26" s="468"/>
      <c r="AC26" s="468"/>
      <c r="AD26" s="449">
        <v>951.3</v>
      </c>
      <c r="AE26" s="449">
        <v>1017.3</v>
      </c>
    </row>
    <row r="27" spans="1:32" ht="16.7" thickTop="1" thickBot="1">
      <c r="A27" s="426" t="s">
        <v>18</v>
      </c>
      <c r="B27" s="419">
        <v>667.33</v>
      </c>
      <c r="C27" s="419">
        <v>711.7</v>
      </c>
      <c r="D27" s="419">
        <v>711</v>
      </c>
      <c r="E27" s="419">
        <v>143.69999999999999</v>
      </c>
      <c r="F27" s="427">
        <v>191.6</v>
      </c>
      <c r="M27" s="448"/>
      <c r="N27" s="522" t="s">
        <v>48</v>
      </c>
      <c r="O27" s="520"/>
      <c r="P27" s="451">
        <f t="shared" ref="P27:T27" si="9">P26/P14</f>
        <v>0.14203692286744155</v>
      </c>
      <c r="Q27" s="451">
        <f t="shared" si="9"/>
        <v>0.1729774335861872</v>
      </c>
      <c r="R27" s="451">
        <f t="shared" si="9"/>
        <v>0.17580523211855439</v>
      </c>
      <c r="S27" s="451">
        <f t="shared" si="9"/>
        <v>0.17261768811064584</v>
      </c>
      <c r="T27" s="451">
        <f t="shared" si="9"/>
        <v>0.19492180868121714</v>
      </c>
      <c r="X27" s="467" t="s">
        <v>43</v>
      </c>
      <c r="Y27" s="447"/>
      <c r="Z27" s="447"/>
      <c r="AA27" s="451"/>
      <c r="AB27" s="451"/>
      <c r="AC27" s="451"/>
      <c r="AD27" s="451"/>
      <c r="AE27" s="451"/>
    </row>
    <row r="28" spans="1:32" ht="15.55" thickTop="1" thickBot="1">
      <c r="A28" s="426" t="s">
        <v>19</v>
      </c>
      <c r="B28" s="419">
        <v>164.55</v>
      </c>
      <c r="C28" s="419">
        <v>212.4</v>
      </c>
      <c r="D28" s="419">
        <v>133</v>
      </c>
      <c r="E28" s="419">
        <v>155.30000000000001</v>
      </c>
      <c r="F28" s="427">
        <v>170.2</v>
      </c>
      <c r="M28" s="526" t="s">
        <v>50</v>
      </c>
      <c r="N28" s="520"/>
      <c r="O28" s="448"/>
      <c r="P28" s="449">
        <v>3.38</v>
      </c>
      <c r="Q28" s="449">
        <v>2.5</v>
      </c>
      <c r="R28" s="449">
        <v>2.1</v>
      </c>
      <c r="S28" s="449">
        <v>2.4</v>
      </c>
      <c r="T28" s="449">
        <v>1.9</v>
      </c>
      <c r="X28" s="447"/>
      <c r="Y28" s="447"/>
      <c r="Z28" s="447"/>
      <c r="AA28" s="447"/>
      <c r="AB28" s="447"/>
      <c r="AC28" s="447"/>
      <c r="AD28" s="447"/>
      <c r="AE28" s="447"/>
    </row>
    <row r="29" spans="1:32" ht="17.3" thickTop="1" thickBot="1">
      <c r="A29" s="426" t="s">
        <v>20</v>
      </c>
      <c r="B29" s="419">
        <v>1714.48</v>
      </c>
      <c r="C29" s="419">
        <v>1850</v>
      </c>
      <c r="D29" s="419">
        <v>2150.5</v>
      </c>
      <c r="E29" s="419">
        <v>2592.9</v>
      </c>
      <c r="F29" s="427">
        <v>3225.3</v>
      </c>
      <c r="M29" s="452" t="s">
        <v>52</v>
      </c>
      <c r="N29" s="448"/>
      <c r="O29" s="448"/>
      <c r="P29" s="449">
        <v>372.15</v>
      </c>
      <c r="Q29" s="449">
        <v>542.5</v>
      </c>
      <c r="R29" s="449">
        <v>579.20000000000005</v>
      </c>
      <c r="S29" s="449">
        <v>677.8</v>
      </c>
      <c r="T29" s="449">
        <v>1031.4000000000001</v>
      </c>
      <c r="X29" s="519" t="s">
        <v>46</v>
      </c>
      <c r="Y29" s="520"/>
      <c r="Z29" s="447"/>
      <c r="AA29" s="449">
        <v>1714.48</v>
      </c>
      <c r="AB29" s="449">
        <v>1850</v>
      </c>
      <c r="AC29" s="449">
        <v>2150.5</v>
      </c>
      <c r="AD29" s="449">
        <v>2592.9</v>
      </c>
      <c r="AE29" s="449">
        <v>3225.3</v>
      </c>
    </row>
    <row r="30" spans="1:32" ht="15.55" thickTop="1" thickBot="1">
      <c r="A30" s="429"/>
      <c r="B30" s="421"/>
      <c r="C30" s="421"/>
      <c r="D30" s="421"/>
      <c r="E30" s="421"/>
      <c r="F30" s="430"/>
      <c r="M30" s="448"/>
      <c r="N30" s="522" t="s">
        <v>54</v>
      </c>
      <c r="O30" s="520"/>
      <c r="P30" s="451">
        <f t="shared" ref="P30:T30" si="10">P29/P14</f>
        <v>0.14075850356860534</v>
      </c>
      <c r="Q30" s="451">
        <f t="shared" si="10"/>
        <v>0.17218395912019552</v>
      </c>
      <c r="R30" s="451">
        <f t="shared" si="10"/>
        <v>0.17517011946166644</v>
      </c>
      <c r="S30" s="451">
        <f t="shared" si="10"/>
        <v>0.17200862834665651</v>
      </c>
      <c r="T30" s="451">
        <f t="shared" si="10"/>
        <v>0.19456339250344268</v>
      </c>
      <c r="X30" s="447"/>
      <c r="Y30" s="447"/>
      <c r="Z30" s="447"/>
      <c r="AA30" s="447"/>
      <c r="AB30" s="447"/>
      <c r="AC30" s="447"/>
      <c r="AD30" s="447"/>
      <c r="AE30" s="447"/>
    </row>
    <row r="31" spans="1:32" ht="17.3" thickTop="1" thickBot="1">
      <c r="A31" s="431" t="s">
        <v>45</v>
      </c>
      <c r="B31" s="432">
        <v>48.460000000000036</v>
      </c>
      <c r="C31" s="432">
        <v>58.899999999999977</v>
      </c>
      <c r="D31" s="432">
        <v>62.5</v>
      </c>
      <c r="E31" s="432">
        <v>88.800000000000068</v>
      </c>
      <c r="F31" s="432">
        <v>104.19999999999982</v>
      </c>
      <c r="G31" s="432"/>
      <c r="H31" s="432"/>
      <c r="I31" s="432"/>
      <c r="J31" s="432"/>
      <c r="M31" s="448"/>
      <c r="N31" s="453" t="s">
        <v>55</v>
      </c>
      <c r="O31" s="448"/>
      <c r="P31" s="450">
        <f t="shared" ref="P31:T31" si="11">P29-P33</f>
        <v>61.039999999999964</v>
      </c>
      <c r="Q31" s="450">
        <f t="shared" si="11"/>
        <v>123.89999999999998</v>
      </c>
      <c r="R31" s="450">
        <f t="shared" si="11"/>
        <v>154.20000000000005</v>
      </c>
      <c r="S31" s="450">
        <f t="shared" si="11"/>
        <v>171.19999999999993</v>
      </c>
      <c r="T31" s="450">
        <f t="shared" si="11"/>
        <v>263.00000000000011</v>
      </c>
      <c r="X31" s="521" t="s">
        <v>49</v>
      </c>
      <c r="Y31" s="520"/>
      <c r="Z31" s="520"/>
      <c r="AA31" s="447"/>
      <c r="AB31" s="447"/>
      <c r="AC31" s="447"/>
      <c r="AD31" s="447"/>
      <c r="AE31" s="447"/>
    </row>
    <row r="32" spans="1:32" ht="17.3" thickTop="1" thickBot="1">
      <c r="A32" s="432"/>
      <c r="B32" s="432"/>
      <c r="C32" s="432"/>
      <c r="D32" s="432"/>
      <c r="E32" s="432"/>
      <c r="F32" s="432"/>
      <c r="G32" s="432"/>
      <c r="H32" s="432"/>
      <c r="I32" s="432"/>
      <c r="J32" s="432"/>
      <c r="M32" s="448"/>
      <c r="N32" s="522" t="s">
        <v>57</v>
      </c>
      <c r="O32" s="520"/>
      <c r="P32" s="451">
        <f t="shared" ref="P32:T32" si="12">P31/P29</f>
        <v>0.16401988445519272</v>
      </c>
      <c r="Q32" s="451">
        <f t="shared" si="12"/>
        <v>0.2283870967741935</v>
      </c>
      <c r="R32" s="451">
        <f t="shared" si="12"/>
        <v>0.26622928176795585</v>
      </c>
      <c r="S32" s="451">
        <f t="shared" si="12"/>
        <v>0.25258188256122743</v>
      </c>
      <c r="T32" s="451">
        <f t="shared" si="12"/>
        <v>0.25499321310839645</v>
      </c>
      <c r="X32" s="519" t="s">
        <v>51</v>
      </c>
      <c r="Y32" s="520"/>
      <c r="Z32" s="520"/>
      <c r="AA32" s="449">
        <v>613.04</v>
      </c>
      <c r="AB32" s="449">
        <v>760.6</v>
      </c>
      <c r="AC32" s="449">
        <v>619</v>
      </c>
      <c r="AD32" s="449">
        <v>625.79999999999995</v>
      </c>
      <c r="AE32" s="449">
        <v>783.4</v>
      </c>
      <c r="AF32" s="35">
        <f>V22</f>
        <v>0</v>
      </c>
    </row>
    <row r="33" spans="1:31" ht="16.7" thickTop="1" thickBot="1">
      <c r="A33" s="433" t="s">
        <v>88</v>
      </c>
      <c r="B33" s="432"/>
      <c r="C33" s="434">
        <f>(C10-B10)/B10</f>
        <v>0.19169103101868837</v>
      </c>
      <c r="D33" s="434">
        <f t="shared" ref="D33:F33" si="13">(D10-C10)/C10</f>
        <v>4.9449328720601829E-2</v>
      </c>
      <c r="E33" s="434">
        <f t="shared" si="13"/>
        <v>0.19174353546045667</v>
      </c>
      <c r="F33" s="434">
        <f t="shared" si="13"/>
        <v>0.34528613120162427</v>
      </c>
      <c r="G33" s="432"/>
      <c r="H33" s="431" t="s">
        <v>89</v>
      </c>
      <c r="I33" s="432"/>
      <c r="J33" s="435">
        <f>AVERAGE(C33:F33)</f>
        <v>0.19454250660034278</v>
      </c>
      <c r="M33" s="452" t="s">
        <v>59</v>
      </c>
      <c r="N33" s="448"/>
      <c r="O33" s="448"/>
      <c r="P33" s="449">
        <v>311.11</v>
      </c>
      <c r="Q33" s="449">
        <v>418.6</v>
      </c>
      <c r="R33" s="449">
        <v>425</v>
      </c>
      <c r="S33" s="449">
        <v>506.6</v>
      </c>
      <c r="T33" s="449">
        <v>768.4</v>
      </c>
      <c r="X33" s="467" t="s">
        <v>53</v>
      </c>
      <c r="Y33" s="447"/>
      <c r="Z33" s="447"/>
      <c r="AA33" s="451">
        <f>P17/AA32</f>
        <v>3.5799132193657841</v>
      </c>
      <c r="AB33" s="451">
        <f>Q17/AB32</f>
        <v>3.2373126479095444</v>
      </c>
      <c r="AC33" s="451">
        <f>R17/AC32</f>
        <v>4.2075928917609051</v>
      </c>
      <c r="AD33" s="451">
        <f>S17/AD32</f>
        <v>4.7588686481303935</v>
      </c>
      <c r="AE33" s="451">
        <f>T17/AE32</f>
        <v>5.0303803931580298</v>
      </c>
    </row>
    <row r="34" spans="1:31" ht="17.3" thickTop="1" thickBot="1">
      <c r="A34" s="433" t="s">
        <v>90</v>
      </c>
      <c r="B34" s="434">
        <f>B11/B10</f>
        <v>0.16036975819720187</v>
      </c>
      <c r="C34" s="434">
        <f t="shared" ref="C34:F34" si="14">C11/C10</f>
        <v>0.19167169200495129</v>
      </c>
      <c r="D34" s="434">
        <f t="shared" si="14"/>
        <v>0.19470739452593375</v>
      </c>
      <c r="E34" s="434">
        <f t="shared" si="14"/>
        <v>0.1951528993782515</v>
      </c>
      <c r="F34" s="434">
        <f t="shared" si="14"/>
        <v>0.21457810643074077</v>
      </c>
      <c r="G34" s="432"/>
      <c r="H34" s="436" t="s">
        <v>90</v>
      </c>
      <c r="I34" s="436"/>
      <c r="J34" s="437">
        <f>AVERAGE(B34:F34)</f>
        <v>0.19129597010741586</v>
      </c>
      <c r="M34" s="448"/>
      <c r="N34" s="522" t="s">
        <v>61</v>
      </c>
      <c r="O34" s="520"/>
      <c r="P34" s="451">
        <f t="shared" ref="P34:T34" si="15">P33/P14</f>
        <v>0.11767131007719688</v>
      </c>
      <c r="Q34" s="451">
        <f t="shared" si="15"/>
        <v>0.13285936458564765</v>
      </c>
      <c r="R34" s="451">
        <f t="shared" si="15"/>
        <v>0.12853470437017994</v>
      </c>
      <c r="S34" s="451">
        <f t="shared" si="15"/>
        <v>0.1285623651820835</v>
      </c>
      <c r="T34" s="451">
        <f t="shared" si="15"/>
        <v>0.14495104789571975</v>
      </c>
      <c r="X34" s="519" t="s">
        <v>19</v>
      </c>
      <c r="Y34" s="520"/>
      <c r="Z34" s="447"/>
      <c r="AA34" s="449">
        <v>164.55</v>
      </c>
      <c r="AB34" s="449">
        <v>212.4</v>
      </c>
      <c r="AC34" s="449">
        <v>133</v>
      </c>
      <c r="AD34" s="449">
        <v>155.30000000000001</v>
      </c>
      <c r="AE34" s="449">
        <v>170.2</v>
      </c>
    </row>
    <row r="35" spans="1:31" ht="17.3" thickTop="1" thickBot="1">
      <c r="A35" s="433" t="s">
        <v>91</v>
      </c>
      <c r="B35" s="432"/>
      <c r="C35" s="434">
        <f>C31/B22</f>
        <v>0.11240029006526464</v>
      </c>
      <c r="D35" s="434">
        <f t="shared" ref="D35:E35" si="16">D31/C22</f>
        <v>0.10877131917855899</v>
      </c>
      <c r="E35" s="434">
        <f t="shared" si="16"/>
        <v>0.15823235923022105</v>
      </c>
      <c r="F35" s="434">
        <f>F31/E22</f>
        <v>0.18839269571506023</v>
      </c>
      <c r="G35" s="432"/>
      <c r="H35" s="433" t="s">
        <v>91</v>
      </c>
      <c r="I35" s="436"/>
      <c r="J35" s="437">
        <f>AVERAGE(C35:F35)</f>
        <v>0.14194916604727623</v>
      </c>
      <c r="X35" s="519" t="s">
        <v>56</v>
      </c>
      <c r="Y35" s="520"/>
      <c r="Z35" s="520"/>
      <c r="AA35" s="468"/>
      <c r="AB35" s="468"/>
      <c r="AC35" s="468"/>
      <c r="AD35" s="468"/>
      <c r="AE35" s="468"/>
    </row>
    <row r="36" spans="1:31" ht="16.7" thickTop="1" thickBot="1">
      <c r="A36" s="433" t="s">
        <v>93</v>
      </c>
      <c r="B36" s="432"/>
      <c r="C36" s="432">
        <f>C22-B22+C31</f>
        <v>109.48000000000002</v>
      </c>
      <c r="D36" s="432">
        <f>D22-C22+D31</f>
        <v>49.100000000000023</v>
      </c>
      <c r="E36" s="432">
        <f t="shared" ref="E36:F36" si="17">E22-D22+E31</f>
        <v>80.700000000000045</v>
      </c>
      <c r="F36" s="432">
        <f t="shared" si="17"/>
        <v>116.49999999999977</v>
      </c>
      <c r="G36" s="432"/>
      <c r="H36" s="436"/>
      <c r="I36" s="436"/>
      <c r="J36" s="436"/>
      <c r="X36" s="467" t="s">
        <v>58</v>
      </c>
      <c r="Y36" s="447"/>
      <c r="Z36" s="447"/>
      <c r="AA36" s="451">
        <f>AA35/AA42</f>
        <v>0</v>
      </c>
      <c r="AB36" s="451">
        <f>AB35/AB42</f>
        <v>0</v>
      </c>
      <c r="AC36" s="451">
        <f>AC35/AC42</f>
        <v>0</v>
      </c>
      <c r="AD36" s="451">
        <f>AD35/AD42</f>
        <v>0</v>
      </c>
      <c r="AE36" s="451">
        <f>AE35/AE42</f>
        <v>0</v>
      </c>
    </row>
    <row r="37" spans="1:31" ht="17.3" thickTop="1" thickBot="1">
      <c r="A37" s="433" t="s">
        <v>92</v>
      </c>
      <c r="B37" s="432"/>
      <c r="C37" s="434">
        <f>C36/C10</f>
        <v>3.4747833814707849E-2</v>
      </c>
      <c r="D37" s="434">
        <f>D36/D10</f>
        <v>1.4849538787237267E-2</v>
      </c>
      <c r="E37" s="434">
        <f t="shared" ref="E37:F37" si="18">E36/E10</f>
        <v>2.0479634564141619E-2</v>
      </c>
      <c r="F37" s="434">
        <f t="shared" si="18"/>
        <v>2.1976570900379123E-2</v>
      </c>
      <c r="G37" s="432"/>
      <c r="H37" s="433" t="s">
        <v>92</v>
      </c>
      <c r="I37" s="436"/>
      <c r="J37" s="437">
        <f>AVERAGE(C37:F37)</f>
        <v>2.3013394516616464E-2</v>
      </c>
      <c r="X37" s="519" t="s">
        <v>60</v>
      </c>
      <c r="Y37" s="520"/>
      <c r="Z37" s="520"/>
      <c r="AA37" s="449">
        <v>155.37</v>
      </c>
      <c r="AB37" s="449">
        <v>112.7</v>
      </c>
      <c r="AC37" s="468"/>
      <c r="AD37" s="468"/>
      <c r="AE37" s="449">
        <v>42.6</v>
      </c>
    </row>
    <row r="38" spans="1:31" ht="17.3" thickTop="1" thickBot="1">
      <c r="A38" s="433" t="s">
        <v>94</v>
      </c>
      <c r="B38" s="432">
        <v>-613.04</v>
      </c>
      <c r="C38" s="432">
        <v>-760.6</v>
      </c>
      <c r="D38" s="432">
        <v>-619</v>
      </c>
      <c r="E38" s="432">
        <v>325.5</v>
      </c>
      <c r="F38" s="432">
        <v>233.89999999999998</v>
      </c>
      <c r="G38" s="432"/>
      <c r="H38" s="436"/>
      <c r="I38" s="436"/>
      <c r="J38" s="436"/>
      <c r="X38" s="519" t="s">
        <v>62</v>
      </c>
      <c r="Y38" s="520"/>
      <c r="Z38" s="520"/>
      <c r="AA38" s="449">
        <v>6.74</v>
      </c>
      <c r="AB38" s="449">
        <v>789.4</v>
      </c>
      <c r="AC38" s="449">
        <v>1511.2</v>
      </c>
      <c r="AD38" s="449">
        <v>1944.8</v>
      </c>
      <c r="AE38" s="449">
        <v>2415.1</v>
      </c>
    </row>
    <row r="39" spans="1:31" ht="16.7" thickTop="1" thickBot="1">
      <c r="A39" s="433" t="s">
        <v>95</v>
      </c>
      <c r="B39" s="434">
        <f>B38/B10</f>
        <v>-0.23187046359719957</v>
      </c>
      <c r="C39" s="434">
        <f t="shared" ref="C39:F39" si="19">C38/C10</f>
        <v>-0.24140667153331008</v>
      </c>
      <c r="D39" s="434">
        <f t="shared" si="19"/>
        <v>-0.18720701648268562</v>
      </c>
      <c r="E39" s="434">
        <f t="shared" si="19"/>
        <v>8.2603730491054433E-2</v>
      </c>
      <c r="F39" s="434">
        <f t="shared" si="19"/>
        <v>4.4122917884967264E-2</v>
      </c>
      <c r="G39" s="432"/>
      <c r="H39" s="433" t="s">
        <v>95</v>
      </c>
      <c r="I39" s="436"/>
      <c r="J39" s="437">
        <f>AVERAGE(B39:F39)</f>
        <v>-0.1067515006474347</v>
      </c>
      <c r="X39" s="467" t="s">
        <v>63</v>
      </c>
      <c r="Y39" s="447"/>
      <c r="Z39" s="447"/>
      <c r="AA39" s="451">
        <f>AA38/AA42</f>
        <v>3.9312211282721294E-3</v>
      </c>
      <c r="AB39" s="451">
        <f>AB38/AB42</f>
        <v>0.42670270270270266</v>
      </c>
      <c r="AC39" s="451">
        <f>AC38/AC42</f>
        <v>0.70272029760520816</v>
      </c>
      <c r="AD39" s="451">
        <f>AD38/AD42</f>
        <v>0.75004820856955523</v>
      </c>
      <c r="AE39" s="451">
        <f>AE38/AE42</f>
        <v>0.7487985613741357</v>
      </c>
    </row>
    <row r="40" spans="1:31" ht="17.3" thickTop="1" thickBot="1">
      <c r="A40" s="433" t="s">
        <v>77</v>
      </c>
      <c r="B40" s="434">
        <v>0.16401988445519272</v>
      </c>
      <c r="C40" s="434">
        <v>0.2283870967741935</v>
      </c>
      <c r="D40" s="434">
        <v>0.26622928176795585</v>
      </c>
      <c r="E40" s="434">
        <v>0.25258188256122743</v>
      </c>
      <c r="F40" s="434">
        <v>0.25499321310839645</v>
      </c>
      <c r="G40" s="432"/>
      <c r="H40" s="433" t="s">
        <v>77</v>
      </c>
      <c r="I40" s="436"/>
      <c r="J40" s="437">
        <f>AVERAGE(B40:F40)</f>
        <v>0.23324227173339321</v>
      </c>
      <c r="X40" s="519" t="s">
        <v>8</v>
      </c>
      <c r="Y40" s="520"/>
      <c r="Z40" s="447"/>
      <c r="AA40" s="449">
        <v>1050</v>
      </c>
      <c r="AB40" s="449">
        <v>300</v>
      </c>
      <c r="AC40" s="449">
        <v>20.3</v>
      </c>
      <c r="AD40" s="449">
        <v>20.5</v>
      </c>
      <c r="AE40" s="449">
        <v>20.8</v>
      </c>
    </row>
    <row r="41" spans="1:31" ht="16.7" thickTop="1" thickBot="1">
      <c r="A41" s="432"/>
      <c r="B41" s="432"/>
      <c r="C41" s="432"/>
      <c r="D41" s="432"/>
      <c r="E41" s="432"/>
      <c r="F41" s="432"/>
      <c r="G41" s="432"/>
      <c r="H41" s="436"/>
      <c r="I41" s="436"/>
      <c r="J41" s="436"/>
      <c r="X41" s="467" t="s">
        <v>64</v>
      </c>
      <c r="Y41" s="447"/>
      <c r="Z41" s="447"/>
      <c r="AA41" s="451">
        <f>AA40/AA42</f>
        <v>0.61243059119966403</v>
      </c>
      <c r="AB41" s="451">
        <f>AB40/AB42</f>
        <v>0.16216216216216217</v>
      </c>
      <c r="AC41" s="451">
        <f>AC40/AC42</f>
        <v>9.4396651941408977E-3</v>
      </c>
      <c r="AD41" s="451">
        <f>AD40/AD42</f>
        <v>7.9062054070731611E-3</v>
      </c>
      <c r="AE41" s="451">
        <f>AE40/AE42</f>
        <v>6.4490124949617093E-3</v>
      </c>
    </row>
    <row r="42" spans="1:31" ht="15.7" customHeight="1" thickTop="1" thickBot="1">
      <c r="A42" s="432"/>
      <c r="B42" s="432"/>
      <c r="C42" s="432"/>
      <c r="D42" s="432"/>
      <c r="E42" s="432"/>
      <c r="F42" s="432"/>
      <c r="G42" s="432"/>
      <c r="H42" s="436"/>
      <c r="I42" s="436"/>
      <c r="J42" s="436"/>
      <c r="X42" s="519" t="s">
        <v>65</v>
      </c>
      <c r="Y42" s="520"/>
      <c r="Z42" s="520"/>
      <c r="AA42" s="449">
        <v>1714.48</v>
      </c>
      <c r="AB42" s="449">
        <v>1850</v>
      </c>
      <c r="AC42" s="449">
        <v>2150.5</v>
      </c>
      <c r="AD42" s="449">
        <v>2592.9</v>
      </c>
      <c r="AE42" s="449">
        <v>3225.3</v>
      </c>
    </row>
    <row r="43" spans="1:31" ht="15.7" customHeight="1" thickTop="1" thickBot="1">
      <c r="A43" s="433" t="s">
        <v>96</v>
      </c>
      <c r="B43" s="435">
        <v>0.2661</v>
      </c>
      <c r="C43" s="435">
        <v>0.28970000000000001</v>
      </c>
      <c r="D43" s="438">
        <v>0.2225</v>
      </c>
      <c r="E43" s="435">
        <v>0.2296</v>
      </c>
      <c r="F43" s="435">
        <v>0.2369</v>
      </c>
      <c r="G43" s="432"/>
      <c r="H43" s="431" t="s">
        <v>96</v>
      </c>
      <c r="I43" s="432"/>
      <c r="J43" s="435">
        <f>AVERAGE(B43:F43)</f>
        <v>0.24896000000000001</v>
      </c>
      <c r="X43" s="447"/>
      <c r="Y43" s="447"/>
      <c r="Z43" s="447"/>
      <c r="AA43" s="447"/>
      <c r="AB43" s="447"/>
      <c r="AC43" s="447"/>
      <c r="AD43" s="447"/>
      <c r="AE43" s="447"/>
    </row>
    <row r="44" spans="1:31" ht="15.7" customHeight="1" thickTop="1" thickBot="1">
      <c r="A44" s="433" t="s">
        <v>97</v>
      </c>
      <c r="B44" s="435">
        <v>0.37890000000000001</v>
      </c>
      <c r="C44" s="435">
        <v>0.37019999999999997</v>
      </c>
      <c r="D44" s="435">
        <v>0.81869999999999998</v>
      </c>
      <c r="E44" s="439">
        <v>0.72950000000000004</v>
      </c>
      <c r="F44" s="435">
        <v>0.69340000000000002</v>
      </c>
      <c r="G44" s="432"/>
      <c r="H44" s="436" t="s">
        <v>97</v>
      </c>
      <c r="I44" s="432"/>
      <c r="J44" s="435">
        <f>AVERAGE(C44:F44)</f>
        <v>0.65294999999999992</v>
      </c>
      <c r="X44" s="447"/>
      <c r="Y44" s="447"/>
      <c r="Z44" s="447"/>
      <c r="AA44" s="447"/>
      <c r="AB44" s="447"/>
      <c r="AC44" s="447"/>
      <c r="AD44" s="447"/>
      <c r="AE44" s="447"/>
    </row>
    <row r="45" spans="1:31" ht="15.7" customHeight="1" thickTop="1" thickBot="1">
      <c r="A45" s="79"/>
      <c r="B45" s="79"/>
      <c r="C45" s="79"/>
      <c r="D45" s="79"/>
      <c r="E45" s="79"/>
      <c r="F45" s="79"/>
      <c r="G45" s="79"/>
      <c r="H45" s="79"/>
      <c r="I45" s="79"/>
      <c r="J45" s="79"/>
      <c r="X45" s="469" t="s">
        <v>66</v>
      </c>
      <c r="Y45" s="470"/>
      <c r="Z45" s="470"/>
      <c r="AA45" s="471">
        <f>AA21-AA32</f>
        <v>-613.04</v>
      </c>
      <c r="AB45" s="471">
        <f>AB21-AB32</f>
        <v>-760.6</v>
      </c>
      <c r="AC45" s="471">
        <f>AC21-AC32</f>
        <v>-619</v>
      </c>
      <c r="AD45" s="471">
        <f>AD21-AD32</f>
        <v>325.5</v>
      </c>
      <c r="AE45" s="471">
        <f>AE21-AE32</f>
        <v>233.89999999999998</v>
      </c>
    </row>
    <row r="46" spans="1:31" ht="15.7" customHeight="1" thickTop="1" thickBot="1">
      <c r="X46" s="470"/>
      <c r="Y46" s="470"/>
      <c r="Z46" s="470"/>
      <c r="AA46" s="470"/>
      <c r="AB46" s="471">
        <f>AB45-AA45</f>
        <v>-147.56000000000006</v>
      </c>
      <c r="AC46" s="471">
        <f>AC45-AB45</f>
        <v>141.60000000000002</v>
      </c>
      <c r="AD46" s="471">
        <f>AD45-AC45</f>
        <v>944.5</v>
      </c>
      <c r="AE46" s="471">
        <f>AE45-AD45</f>
        <v>-91.600000000000023</v>
      </c>
    </row>
    <row r="47" spans="1:31" ht="15.55" thickTop="1" thickBot="1">
      <c r="X47" s="469" t="s">
        <v>67</v>
      </c>
      <c r="Y47" s="470"/>
      <c r="Z47" s="470"/>
      <c r="AA47" s="470"/>
      <c r="AB47" s="471">
        <f>AB19-AA19</f>
        <v>50.580000000000041</v>
      </c>
      <c r="AC47" s="471">
        <f>AC19-AB19</f>
        <v>-13.399999999999977</v>
      </c>
      <c r="AD47" s="471">
        <f>AD19-AC19</f>
        <v>-8.1000000000000227</v>
      </c>
      <c r="AE47" s="471">
        <f>AE19-AD19</f>
        <v>12.299999999999955</v>
      </c>
    </row>
    <row r="48" spans="1:31" ht="13.25" thickTop="1"/>
    <row r="49" ht="12.7"/>
    <row r="50" ht="12.7"/>
    <row r="51" ht="12.7"/>
    <row r="52" ht="12.7"/>
    <row r="53" ht="12.7"/>
    <row r="54" ht="12.7"/>
    <row r="55" ht="12.7"/>
    <row r="56" ht="12.7"/>
    <row r="57" ht="12.7"/>
    <row r="58" ht="12.7"/>
    <row r="59" ht="12.7"/>
    <row r="60" ht="12.7"/>
    <row r="61" ht="12.7"/>
    <row r="62" ht="12.7"/>
    <row r="63" ht="12.7"/>
    <row r="64" ht="12.7"/>
    <row r="118" spans="2:9" ht="15.7" customHeight="1">
      <c r="B118" s="472"/>
      <c r="C118" s="472"/>
      <c r="D118" s="472"/>
      <c r="E118" s="472"/>
      <c r="F118" s="472"/>
      <c r="G118" s="472"/>
      <c r="H118" s="472"/>
      <c r="I118" s="472"/>
    </row>
    <row r="119" spans="2:9" ht="15.7" customHeight="1" thickBot="1">
      <c r="B119" s="472"/>
      <c r="C119" s="472"/>
      <c r="D119" s="472"/>
      <c r="E119" s="472"/>
      <c r="F119" s="472"/>
      <c r="G119" s="472"/>
      <c r="H119" s="472"/>
      <c r="I119" s="472"/>
    </row>
    <row r="120" spans="2:9" ht="15.7" customHeight="1" thickBot="1">
      <c r="B120" s="472"/>
      <c r="C120" s="472"/>
      <c r="D120" s="440"/>
      <c r="E120" s="473">
        <v>15</v>
      </c>
      <c r="F120" s="473">
        <v>16</v>
      </c>
      <c r="G120" s="473">
        <v>17</v>
      </c>
      <c r="H120" s="473">
        <v>18</v>
      </c>
      <c r="I120" s="473">
        <v>19</v>
      </c>
    </row>
    <row r="121" spans="2:9" ht="15.7" customHeight="1" thickBot="1">
      <c r="B121" s="472"/>
      <c r="C121" s="472"/>
      <c r="D121" s="441"/>
      <c r="E121" s="523" t="s">
        <v>69</v>
      </c>
      <c r="F121" s="524"/>
      <c r="G121" s="524"/>
      <c r="H121" s="524"/>
      <c r="I121" s="525"/>
    </row>
    <row r="122" spans="2:9" ht="15.7" customHeight="1" thickBot="1">
      <c r="B122" s="472"/>
      <c r="C122" s="472"/>
      <c r="D122" s="474" t="s">
        <v>71</v>
      </c>
      <c r="E122" s="441"/>
      <c r="F122" s="441"/>
      <c r="G122" s="441"/>
      <c r="H122" s="441"/>
      <c r="I122" s="441"/>
    </row>
    <row r="123" spans="2:9" ht="15.7" customHeight="1" thickBot="1">
      <c r="B123" s="472"/>
      <c r="C123" s="472"/>
      <c r="D123" s="474" t="s">
        <v>73</v>
      </c>
      <c r="E123" s="442">
        <f>B11</f>
        <v>424</v>
      </c>
      <c r="F123" s="442">
        <f>C11</f>
        <v>603.9</v>
      </c>
      <c r="G123" s="442">
        <f>D11</f>
        <v>643.79999999999995</v>
      </c>
      <c r="H123" s="442">
        <f>E11</f>
        <v>769</v>
      </c>
      <c r="I123" s="442">
        <f>F11</f>
        <v>1137.5</v>
      </c>
    </row>
    <row r="124" spans="2:9" ht="15.7" customHeight="1" thickBot="1">
      <c r="B124" s="472"/>
      <c r="C124" s="472"/>
      <c r="D124" s="474" t="s">
        <v>47</v>
      </c>
      <c r="E124" s="442">
        <f>P26</f>
        <v>375.53</v>
      </c>
      <c r="F124" s="442">
        <f>Q26</f>
        <v>545</v>
      </c>
      <c r="G124" s="442">
        <f>R26</f>
        <v>581.30000000000007</v>
      </c>
      <c r="H124" s="442">
        <f>S26</f>
        <v>680.19999999999993</v>
      </c>
      <c r="I124" s="442">
        <f>T26</f>
        <v>1033.3000000000002</v>
      </c>
    </row>
    <row r="125" spans="2:9" ht="15.7" customHeight="1" thickBot="1">
      <c r="B125" s="472"/>
      <c r="C125" s="472"/>
      <c r="D125" s="474" t="s">
        <v>75</v>
      </c>
      <c r="E125" s="442">
        <f>P33</f>
        <v>311.11</v>
      </c>
      <c r="F125" s="442">
        <f>Q33</f>
        <v>418.6</v>
      </c>
      <c r="G125" s="442">
        <f>R33</f>
        <v>425</v>
      </c>
      <c r="H125" s="442">
        <f>S33</f>
        <v>506.6</v>
      </c>
      <c r="I125" s="442">
        <f>T33</f>
        <v>768.4</v>
      </c>
    </row>
    <row r="126" spans="2:9" ht="15.7" customHeight="1" thickBot="1">
      <c r="B126" s="472"/>
      <c r="C126" s="472"/>
      <c r="D126" s="474" t="s">
        <v>17</v>
      </c>
      <c r="E126" s="442">
        <f>B27</f>
        <v>667.33</v>
      </c>
      <c r="F126" s="442">
        <f>C27</f>
        <v>711.7</v>
      </c>
      <c r="G126" s="442">
        <f>D27</f>
        <v>711</v>
      </c>
      <c r="H126" s="442">
        <f>E27</f>
        <v>143.69999999999999</v>
      </c>
      <c r="I126" s="442">
        <f>F27</f>
        <v>191.6</v>
      </c>
    </row>
    <row r="127" spans="2:9" ht="15.7" customHeight="1" thickBot="1">
      <c r="B127" s="472"/>
      <c r="C127" s="472"/>
      <c r="D127" s="474" t="s">
        <v>76</v>
      </c>
      <c r="E127" s="442">
        <f>B18</f>
        <v>6.74</v>
      </c>
      <c r="F127" s="442">
        <f>C18</f>
        <v>789.4</v>
      </c>
      <c r="G127" s="442">
        <f>D18</f>
        <v>1511.2</v>
      </c>
      <c r="H127" s="442">
        <f>E18</f>
        <v>1944.8</v>
      </c>
      <c r="I127" s="442">
        <f>F18</f>
        <v>2415.1</v>
      </c>
    </row>
    <row r="128" spans="2:9" ht="15.7" customHeight="1" thickBot="1">
      <c r="B128" s="472"/>
      <c r="C128" s="472"/>
      <c r="D128" s="441"/>
      <c r="E128" s="441"/>
      <c r="F128" s="441"/>
      <c r="G128" s="441"/>
      <c r="H128" s="441"/>
      <c r="I128" s="441"/>
    </row>
    <row r="129" spans="1:9" ht="15.7" customHeight="1" thickBot="1">
      <c r="B129" s="472"/>
      <c r="C129" s="472"/>
      <c r="D129" s="441"/>
      <c r="E129" s="441"/>
      <c r="F129" s="441"/>
      <c r="G129" s="441"/>
      <c r="H129" s="441"/>
      <c r="I129" s="441"/>
    </row>
    <row r="130" spans="1:9" ht="15.7" customHeight="1" thickBot="1">
      <c r="B130" s="472"/>
      <c r="C130" s="472"/>
      <c r="D130" s="474" t="s">
        <v>79</v>
      </c>
      <c r="E130" s="443">
        <f t="shared" ref="E130:I130" si="20">E125/E127</f>
        <v>46.158753709198812</v>
      </c>
      <c r="F130" s="443">
        <f t="shared" si="20"/>
        <v>0.53027615910818349</v>
      </c>
      <c r="G130" s="443">
        <f t="shared" si="20"/>
        <v>0.28123345685547907</v>
      </c>
      <c r="H130" s="443">
        <f t="shared" si="20"/>
        <v>0.26048951048951052</v>
      </c>
      <c r="I130" s="443">
        <f t="shared" si="20"/>
        <v>0.31816487930106413</v>
      </c>
    </row>
    <row r="131" spans="1:9" ht="15.7" customHeight="1" thickBot="1">
      <c r="B131" s="472"/>
      <c r="C131" s="472"/>
      <c r="D131" s="474" t="s">
        <v>81</v>
      </c>
      <c r="E131" s="443">
        <f t="shared" ref="E131:I131" si="21">E125/E123</f>
        <v>0.73375000000000001</v>
      </c>
      <c r="F131" s="443">
        <f t="shared" si="21"/>
        <v>0.69316111939062763</v>
      </c>
      <c r="G131" s="443">
        <f t="shared" si="21"/>
        <v>0.66014290152221189</v>
      </c>
      <c r="H131" s="443">
        <f t="shared" si="21"/>
        <v>0.65877763328998706</v>
      </c>
      <c r="I131" s="443">
        <f t="shared" si="21"/>
        <v>0.67551648351648352</v>
      </c>
    </row>
    <row r="132" spans="1:9" ht="15.7" customHeight="1" thickBot="1">
      <c r="B132" s="472"/>
      <c r="C132" s="472"/>
      <c r="D132" s="474" t="s">
        <v>82</v>
      </c>
      <c r="E132" s="443">
        <f t="shared" ref="E132:I132" si="22">E123/E126</f>
        <v>0.63536780903001511</v>
      </c>
      <c r="F132" s="443">
        <f t="shared" si="22"/>
        <v>0.84853168469860885</v>
      </c>
      <c r="G132" s="443">
        <f t="shared" si="22"/>
        <v>0.90548523206751053</v>
      </c>
      <c r="H132" s="443">
        <f t="shared" si="22"/>
        <v>5.3514265831593599</v>
      </c>
      <c r="I132" s="443">
        <f t="shared" si="22"/>
        <v>5.9368475991649268</v>
      </c>
    </row>
    <row r="133" spans="1:9" ht="15.7" customHeight="1" thickBot="1">
      <c r="B133" s="472"/>
      <c r="C133" s="472"/>
      <c r="D133" s="474" t="s">
        <v>83</v>
      </c>
      <c r="E133" s="443">
        <f t="shared" ref="E133:I133" si="23">E126/E127</f>
        <v>99.010385756676556</v>
      </c>
      <c r="F133" s="443">
        <f t="shared" si="23"/>
        <v>0.90157081327590582</v>
      </c>
      <c r="G133" s="443">
        <f t="shared" si="23"/>
        <v>0.47048703017469562</v>
      </c>
      <c r="H133" s="443">
        <f t="shared" si="23"/>
        <v>7.3889345948169469E-2</v>
      </c>
      <c r="I133" s="443">
        <f t="shared" si="23"/>
        <v>7.9334189060494387E-2</v>
      </c>
    </row>
    <row r="134" spans="1:9" ht="15.7" customHeight="1" thickBot="1">
      <c r="B134" s="472"/>
      <c r="C134" s="472"/>
      <c r="D134" s="474" t="s">
        <v>79</v>
      </c>
      <c r="E134" s="443">
        <f t="shared" ref="E134:I134" si="24">E131*E132*E133</f>
        <v>46.158753709198812</v>
      </c>
      <c r="F134" s="443">
        <f t="shared" si="24"/>
        <v>0.53027615910818349</v>
      </c>
      <c r="G134" s="443">
        <f t="shared" si="24"/>
        <v>0.28123345685547907</v>
      </c>
      <c r="H134" s="443">
        <f t="shared" si="24"/>
        <v>0.26048951048951047</v>
      </c>
      <c r="I134" s="443">
        <f t="shared" si="24"/>
        <v>0.31816487930106413</v>
      </c>
    </row>
    <row r="135" spans="1:9" ht="15.7" customHeight="1">
      <c r="B135" s="472"/>
      <c r="C135" s="472"/>
      <c r="D135" s="472"/>
      <c r="E135" s="472"/>
      <c r="F135" s="472"/>
      <c r="G135" s="472"/>
      <c r="H135" s="472"/>
      <c r="I135" s="472"/>
    </row>
    <row r="136" spans="1:9" ht="15.7" customHeight="1">
      <c r="B136" s="472"/>
      <c r="C136" s="472"/>
      <c r="D136" s="472"/>
      <c r="E136" s="472"/>
      <c r="F136" s="472"/>
      <c r="G136" s="472"/>
      <c r="H136" s="472"/>
      <c r="I136" s="472"/>
    </row>
    <row r="137" spans="1:9" ht="15.7" customHeight="1">
      <c r="B137" s="472"/>
      <c r="C137" s="472"/>
      <c r="D137" s="472"/>
      <c r="E137" s="472"/>
      <c r="F137" s="472"/>
      <c r="G137" s="472"/>
      <c r="H137" s="472"/>
      <c r="I137" s="472"/>
    </row>
    <row r="138" spans="1:9" ht="15.7" customHeight="1">
      <c r="B138" s="472"/>
      <c r="C138" s="472"/>
      <c r="D138" s="472"/>
      <c r="E138" s="472"/>
      <c r="F138" s="472"/>
      <c r="G138" s="472"/>
      <c r="H138" s="472"/>
      <c r="I138" s="472"/>
    </row>
    <row r="139" spans="1:9" ht="15.7" customHeight="1">
      <c r="B139" s="472"/>
      <c r="C139" s="472"/>
      <c r="D139" s="472"/>
      <c r="E139" s="472"/>
      <c r="F139" s="472"/>
      <c r="G139" s="472"/>
      <c r="H139" s="472"/>
      <c r="I139" s="472"/>
    </row>
    <row r="140" spans="1:9" ht="15.7" customHeight="1" thickBot="1">
      <c r="B140" s="472"/>
      <c r="C140" s="472"/>
      <c r="D140" s="472"/>
      <c r="E140" s="472"/>
      <c r="F140" s="472"/>
      <c r="G140" s="472"/>
      <c r="H140" s="472"/>
      <c r="I140" s="472"/>
    </row>
    <row r="141" spans="1:9" ht="15.7" customHeight="1" thickBot="1">
      <c r="A141" s="440"/>
      <c r="B141" s="473">
        <v>15</v>
      </c>
      <c r="C141" s="473">
        <v>16</v>
      </c>
      <c r="D141" s="473">
        <v>17</v>
      </c>
      <c r="E141" s="473">
        <v>18</v>
      </c>
      <c r="F141" s="473">
        <v>19</v>
      </c>
      <c r="G141" s="472"/>
      <c r="H141" s="472"/>
      <c r="I141" s="472"/>
    </row>
    <row r="142" spans="1:9" ht="15.7" customHeight="1" thickBot="1">
      <c r="A142" s="441"/>
      <c r="B142" s="523" t="s">
        <v>68</v>
      </c>
      <c r="C142" s="524"/>
      <c r="D142" s="524"/>
      <c r="E142" s="524"/>
      <c r="F142" s="525"/>
      <c r="G142" s="472"/>
      <c r="H142" s="472"/>
      <c r="I142" s="472"/>
    </row>
    <row r="143" spans="1:9" ht="15.7" customHeight="1" thickBot="1">
      <c r="A143" s="478" t="s">
        <v>70</v>
      </c>
      <c r="B143" s="442">
        <f>B11</f>
        <v>424</v>
      </c>
      <c r="C143" s="442">
        <f>C11</f>
        <v>603.9</v>
      </c>
      <c r="D143" s="442">
        <f>D11</f>
        <v>643.79999999999995</v>
      </c>
      <c r="E143" s="442">
        <f>E11</f>
        <v>769</v>
      </c>
      <c r="F143" s="442">
        <f>F11</f>
        <v>1137.5</v>
      </c>
      <c r="G143" s="472"/>
      <c r="H143" s="472"/>
      <c r="I143" s="472"/>
    </row>
    <row r="144" spans="1:9" ht="15.7" customHeight="1" thickBot="1">
      <c r="A144" s="479" t="s">
        <v>72</v>
      </c>
      <c r="B144" s="442">
        <f>P17</f>
        <v>2194.63</v>
      </c>
      <c r="C144" s="442">
        <f>Q17</f>
        <v>2462.2999999999997</v>
      </c>
      <c r="D144" s="442">
        <f>R17</f>
        <v>2604.5</v>
      </c>
      <c r="E144" s="442">
        <f>S17</f>
        <v>2978.1</v>
      </c>
      <c r="F144" s="442">
        <f>T17</f>
        <v>3940.8</v>
      </c>
      <c r="G144" s="472"/>
      <c r="H144" s="472"/>
      <c r="I144" s="472"/>
    </row>
    <row r="145" spans="1:9" ht="15.7" customHeight="1" thickBot="1">
      <c r="A145" s="479" t="s">
        <v>74</v>
      </c>
      <c r="B145" s="442">
        <f>P15</f>
        <v>25.259999999999764</v>
      </c>
      <c r="C145" s="442">
        <f>Q15</f>
        <v>84.5</v>
      </c>
      <c r="D145" s="442">
        <f>R15</f>
        <v>58.199999999999818</v>
      </c>
      <c r="E145" s="442">
        <f>S15</f>
        <v>193.40000000000009</v>
      </c>
      <c r="F145" s="442">
        <f>T15</f>
        <v>222.80000000000018</v>
      </c>
      <c r="G145" s="472"/>
      <c r="H145" s="472"/>
      <c r="I145" s="472"/>
    </row>
    <row r="146" spans="1:9" ht="15.7" customHeight="1" thickBot="1">
      <c r="A146" s="479" t="s">
        <v>45</v>
      </c>
      <c r="B146" s="442">
        <f>P25</f>
        <v>48.460000000000036</v>
      </c>
      <c r="C146" s="442">
        <f>Q25</f>
        <v>58.899999999999977</v>
      </c>
      <c r="D146" s="442">
        <f>R25</f>
        <v>62.5</v>
      </c>
      <c r="E146" s="442">
        <f>S25</f>
        <v>88.800000000000068</v>
      </c>
      <c r="F146" s="442">
        <f>T25</f>
        <v>104.19999999999982</v>
      </c>
      <c r="G146" s="472"/>
      <c r="H146" s="472"/>
      <c r="I146" s="472"/>
    </row>
    <row r="147" spans="1:9" ht="15.7" customHeight="1" thickBot="1">
      <c r="A147" s="441"/>
      <c r="B147" s="441"/>
      <c r="C147" s="441"/>
      <c r="D147" s="441"/>
      <c r="E147" s="441"/>
      <c r="F147" s="441"/>
      <c r="G147" s="472"/>
      <c r="H147" s="472"/>
      <c r="I147" s="472"/>
    </row>
    <row r="148" spans="1:9" ht="15.7" customHeight="1" thickBot="1">
      <c r="A148" s="479" t="s">
        <v>47</v>
      </c>
      <c r="B148" s="442">
        <f>P26</f>
        <v>375.53</v>
      </c>
      <c r="C148" s="442">
        <f>Q26</f>
        <v>545</v>
      </c>
      <c r="D148" s="442">
        <f>R26</f>
        <v>581.30000000000007</v>
      </c>
      <c r="E148" s="442">
        <f>S26</f>
        <v>680.19999999999993</v>
      </c>
      <c r="F148" s="442">
        <f>T26</f>
        <v>1033.3000000000002</v>
      </c>
      <c r="G148" s="472"/>
      <c r="H148" s="472"/>
      <c r="I148" s="472"/>
    </row>
    <row r="149" spans="1:9" ht="15.7" customHeight="1" thickBot="1">
      <c r="A149" s="479" t="s">
        <v>77</v>
      </c>
      <c r="B149" s="443">
        <f>P32</f>
        <v>0.16401988445519272</v>
      </c>
      <c r="C149" s="443">
        <f>Q32</f>
        <v>0.2283870967741935</v>
      </c>
      <c r="D149" s="443">
        <f>R32</f>
        <v>0.26622928176795585</v>
      </c>
      <c r="E149" s="443">
        <f>S32</f>
        <v>0.25258188256122743</v>
      </c>
      <c r="F149" s="443">
        <f>T32</f>
        <v>0.25499321310839645</v>
      </c>
      <c r="G149" s="472"/>
      <c r="H149" s="472"/>
      <c r="I149" s="472"/>
    </row>
    <row r="150" spans="1:9" ht="15.7" customHeight="1" thickBot="1">
      <c r="A150" s="479" t="s">
        <v>78</v>
      </c>
      <c r="B150" s="475">
        <f t="shared" ref="B150:F150" si="25">B148*(1-B149)</f>
        <v>313.93561279054143</v>
      </c>
      <c r="C150" s="475">
        <f t="shared" si="25"/>
        <v>420.52903225806455</v>
      </c>
      <c r="D150" s="475">
        <f t="shared" si="25"/>
        <v>426.54091850828729</v>
      </c>
      <c r="E150" s="475">
        <f t="shared" si="25"/>
        <v>508.39380348185307</v>
      </c>
      <c r="F150" s="475">
        <f t="shared" si="25"/>
        <v>769.815512895094</v>
      </c>
      <c r="G150" s="472"/>
      <c r="H150" s="472"/>
      <c r="I150" s="472"/>
    </row>
    <row r="151" spans="1:9" ht="15.7" customHeight="1" thickBot="1">
      <c r="A151" s="479" t="s">
        <v>45</v>
      </c>
      <c r="B151" s="475">
        <f>P25</f>
        <v>48.460000000000036</v>
      </c>
      <c r="C151" s="475">
        <f>Q25</f>
        <v>58.899999999999977</v>
      </c>
      <c r="D151" s="475">
        <f>R25</f>
        <v>62.5</v>
      </c>
      <c r="E151" s="475">
        <f>S25</f>
        <v>88.800000000000068</v>
      </c>
      <c r="F151" s="475">
        <f>T25</f>
        <v>104.19999999999982</v>
      </c>
      <c r="G151" s="472"/>
      <c r="H151" s="472"/>
      <c r="I151" s="472"/>
    </row>
    <row r="152" spans="1:9" ht="15.7" customHeight="1" thickBot="1">
      <c r="A152" s="479" t="s">
        <v>80</v>
      </c>
      <c r="B152" s="475">
        <f t="shared" ref="B152:F152" si="26">B150+B151</f>
        <v>362.39561279054146</v>
      </c>
      <c r="C152" s="475">
        <f t="shared" si="26"/>
        <v>479.42903225806452</v>
      </c>
      <c r="D152" s="475">
        <f t="shared" si="26"/>
        <v>489.04091850828729</v>
      </c>
      <c r="E152" s="475">
        <f t="shared" si="26"/>
        <v>597.19380348185314</v>
      </c>
      <c r="F152" s="475">
        <f t="shared" si="26"/>
        <v>874.01551289509382</v>
      </c>
      <c r="G152" s="472"/>
      <c r="H152" s="472"/>
      <c r="I152" s="472"/>
    </row>
    <row r="153" spans="1:9" ht="15.7" customHeight="1" thickBot="1">
      <c r="A153" s="441"/>
      <c r="B153" s="441"/>
      <c r="C153" s="441"/>
      <c r="D153" s="441"/>
      <c r="E153" s="441"/>
      <c r="F153" s="441"/>
      <c r="G153" s="472"/>
      <c r="H153" s="472"/>
      <c r="I153" s="472"/>
    </row>
    <row r="154" spans="1:9" ht="15.7" customHeight="1" thickBot="1">
      <c r="A154" s="441"/>
      <c r="B154" s="441"/>
      <c r="C154" s="441"/>
      <c r="D154" s="441"/>
      <c r="E154" s="441"/>
      <c r="F154" s="441"/>
      <c r="G154" s="472"/>
      <c r="H154" s="472"/>
      <c r="I154" s="472"/>
    </row>
    <row r="155" spans="1:9" ht="15.7" customHeight="1" thickBot="1">
      <c r="A155" s="479" t="s">
        <v>84</v>
      </c>
      <c r="B155" s="441">
        <f t="shared" ref="B155:F156" si="27">AA46</f>
        <v>0</v>
      </c>
      <c r="C155" s="441">
        <f t="shared" si="27"/>
        <v>-147.56000000000006</v>
      </c>
      <c r="D155" s="441">
        <f t="shared" si="27"/>
        <v>141.60000000000002</v>
      </c>
      <c r="E155" s="441">
        <f t="shared" si="27"/>
        <v>944.5</v>
      </c>
      <c r="F155" s="441">
        <f t="shared" si="27"/>
        <v>-91.600000000000023</v>
      </c>
      <c r="G155" s="472"/>
      <c r="H155" s="472"/>
      <c r="I155" s="472"/>
    </row>
    <row r="156" spans="1:9" ht="15.7" customHeight="1" thickBot="1">
      <c r="A156" s="479" t="s">
        <v>85</v>
      </c>
      <c r="B156" s="441">
        <f t="shared" si="27"/>
        <v>0</v>
      </c>
      <c r="C156" s="441">
        <f t="shared" si="27"/>
        <v>50.580000000000041</v>
      </c>
      <c r="D156" s="441">
        <f t="shared" si="27"/>
        <v>-13.399999999999977</v>
      </c>
      <c r="E156" s="441">
        <f t="shared" si="27"/>
        <v>-8.1000000000000227</v>
      </c>
      <c r="F156" s="441">
        <f t="shared" si="27"/>
        <v>12.299999999999955</v>
      </c>
      <c r="G156" s="472"/>
      <c r="H156" s="472"/>
      <c r="I156" s="472"/>
    </row>
    <row r="157" spans="1:9" ht="15.7" customHeight="1" thickBot="1">
      <c r="A157" s="441"/>
      <c r="B157" s="441"/>
      <c r="C157" s="441"/>
      <c r="D157" s="441"/>
      <c r="E157" s="441"/>
      <c r="F157" s="441"/>
      <c r="G157" s="472"/>
      <c r="H157" s="472"/>
      <c r="I157" s="472"/>
    </row>
    <row r="158" spans="1:9" ht="15.7" customHeight="1" thickBot="1">
      <c r="A158" s="480" t="s">
        <v>68</v>
      </c>
      <c r="B158" s="476"/>
      <c r="C158" s="477">
        <f t="shared" ref="C158:F158" si="28">C152-SUM(C155:C156)</f>
        <v>576.4090322580646</v>
      </c>
      <c r="D158" s="477">
        <f t="shared" si="28"/>
        <v>360.84091850828725</v>
      </c>
      <c r="E158" s="477">
        <f t="shared" si="28"/>
        <v>-339.20619651814684</v>
      </c>
      <c r="F158" s="477">
        <f t="shared" si="28"/>
        <v>953.31551289509389</v>
      </c>
      <c r="G158" s="472"/>
      <c r="H158" s="472"/>
      <c r="I158" s="472"/>
    </row>
    <row r="159" spans="1:9" ht="15.7" customHeight="1">
      <c r="B159" s="472"/>
      <c r="C159" s="472"/>
      <c r="D159" s="472"/>
      <c r="E159" s="472"/>
      <c r="F159" s="472"/>
      <c r="G159" s="472"/>
      <c r="H159" s="472"/>
      <c r="I159" s="472"/>
    </row>
  </sheetData>
  <mergeCells count="37">
    <mergeCell ref="M12:T12"/>
    <mergeCell ref="X16:AE16"/>
    <mergeCell ref="M13:O13"/>
    <mergeCell ref="M14:N14"/>
    <mergeCell ref="N15:O15"/>
    <mergeCell ref="M16:O16"/>
    <mergeCell ref="M21:N21"/>
    <mergeCell ref="X26:Y26"/>
    <mergeCell ref="N30:O30"/>
    <mergeCell ref="N32:O32"/>
    <mergeCell ref="N17:O17"/>
    <mergeCell ref="N18:O18"/>
    <mergeCell ref="X22:Z22"/>
    <mergeCell ref="M19:O19"/>
    <mergeCell ref="N20:O20"/>
    <mergeCell ref="N34:O34"/>
    <mergeCell ref="B142:F142"/>
    <mergeCell ref="E121:I121"/>
    <mergeCell ref="N22:O22"/>
    <mergeCell ref="N23:O23"/>
    <mergeCell ref="M24:N24"/>
    <mergeCell ref="N25:O25"/>
    <mergeCell ref="M26:N26"/>
    <mergeCell ref="N27:O27"/>
    <mergeCell ref="M28:N28"/>
    <mergeCell ref="X37:Z37"/>
    <mergeCell ref="X38:Z38"/>
    <mergeCell ref="X40:Y40"/>
    <mergeCell ref="X42:Z42"/>
    <mergeCell ref="X19:Z19"/>
    <mergeCell ref="X21:Z21"/>
    <mergeCell ref="X29:Y29"/>
    <mergeCell ref="X31:Z31"/>
    <mergeCell ref="X32:Z32"/>
    <mergeCell ref="X34:Y34"/>
    <mergeCell ref="X35:Z35"/>
    <mergeCell ref="X24:Z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Group Members</vt:lpstr>
      <vt:lpstr>Industry ratios</vt:lpstr>
      <vt:lpstr>TATA ELXSI LIMITED</vt:lpstr>
      <vt:lpstr>TATA-Elxsi-1</vt:lpstr>
      <vt:lpstr>RAMCO SYSTEMS LIMITED</vt:lpstr>
      <vt:lpstr>RAMCO-1</vt:lpstr>
      <vt:lpstr>INFOBEANS TECHNOLOGIES LIMITED</vt:lpstr>
      <vt:lpstr>INFOBEANS-1</vt:lpstr>
      <vt:lpstr>LNT</vt:lpstr>
      <vt:lpstr>LNT-1</vt:lpstr>
      <vt:lpstr>TCS</vt:lpstr>
      <vt:lpstr>TCS-Using Bloom</vt:lpstr>
      <vt:lpstr>TCS-Valuation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K CHAITANYA</dc:creator>
  <cp:lastModifiedBy>B K CHAITANYA</cp:lastModifiedBy>
  <dcterms:created xsi:type="dcterms:W3CDTF">2022-04-22T18:00:27Z</dcterms:created>
  <dcterms:modified xsi:type="dcterms:W3CDTF">2022-04-26T15:23:57Z</dcterms:modified>
</cp:coreProperties>
</file>