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aplikasi si toba fix\"/>
    </mc:Choice>
  </mc:AlternateContent>
  <xr:revisionPtr revIDLastSave="0" documentId="13_ncr:1_{99D046B4-4981-4F61-9EDE-B926AD71109C}" xr6:coauthVersionLast="47" xr6:coauthVersionMax="47" xr10:uidLastSave="{00000000-0000-0000-0000-000000000000}"/>
  <bookViews>
    <workbookView xWindow="-110" yWindow="-110" windowWidth="19420" windowHeight="10420" tabRatio="801" activeTab="1" xr2:uid="{00000000-000D-0000-FFFF-FFFF00000000}"/>
  </bookViews>
  <sheets>
    <sheet name="LK isi" sheetId="17" r:id="rId1"/>
    <sheet name="Laporan Light Source" sheetId="9" r:id="rId2"/>
    <sheet name="olah data" sheetId="19" r:id="rId3"/>
    <sheet name="Serti Lux" sheetId="18" r:id="rId4"/>
    <sheet name="esa" sheetId="13" r:id="rId5"/>
    <sheet name="ktps" sheetId="2" r:id="rId6"/>
    <sheet name="serti thermohygro" sheetId="6" r:id="rId7"/>
    <sheet name="Drift" sheetId="22" state="hidden" r:id="rId8"/>
  </sheets>
  <definedNames>
    <definedName name="_xlnm.Print_Area" localSheetId="1">'Laporan Light Source'!$A$1:$U$67</definedName>
    <definedName name="_xlnm.Print_Area" localSheetId="0">'LK isi'!$A$1:$AB$54</definedName>
    <definedName name="_xlnm.Print_Area" localSheetId="2">'olah data'!$A$1:$AQ$67</definedName>
  </definedNames>
  <calcPr calcId="181029" concurrentCalc="0"/>
</workbook>
</file>

<file path=xl/calcChain.xml><?xml version="1.0" encoding="utf-8"?>
<calcChain xmlns="http://schemas.openxmlformats.org/spreadsheetml/2006/main">
  <c r="AE60" i="19" l="1"/>
  <c r="K45" i="9"/>
  <c r="F44" i="9"/>
  <c r="U21" i="19"/>
  <c r="Q21" i="19"/>
  <c r="L21" i="19"/>
  <c r="C21" i="19"/>
  <c r="C27" i="9"/>
  <c r="C20" i="19"/>
  <c r="C26" i="9"/>
  <c r="C19" i="19"/>
  <c r="C25" i="9"/>
  <c r="C18" i="19"/>
  <c r="L51" i="19"/>
  <c r="O51" i="19"/>
  <c r="R51" i="19"/>
  <c r="U51" i="19"/>
  <c r="X51" i="19"/>
  <c r="I51" i="19"/>
  <c r="B44" i="9"/>
  <c r="F9" i="2"/>
  <c r="F8" i="2"/>
  <c r="I8" i="2"/>
  <c r="K8" i="2"/>
  <c r="L8" i="2"/>
  <c r="M8" i="2"/>
  <c r="P7" i="18"/>
  <c r="P6" i="18"/>
  <c r="P5" i="18"/>
  <c r="M6" i="18"/>
  <c r="M7" i="18"/>
  <c r="M5" i="18"/>
  <c r="Q27" i="9"/>
  <c r="M27" i="9"/>
  <c r="I27" i="9"/>
  <c r="N8" i="13"/>
  <c r="N7" i="13"/>
  <c r="F88" i="13"/>
  <c r="F89" i="13"/>
  <c r="F90" i="13"/>
  <c r="F91" i="13"/>
  <c r="F87" i="13"/>
  <c r="F71" i="13"/>
  <c r="F72" i="13"/>
  <c r="F73" i="13"/>
  <c r="F74" i="13"/>
  <c r="F70" i="13"/>
  <c r="F54" i="13"/>
  <c r="F55" i="13"/>
  <c r="F56" i="13"/>
  <c r="F57" i="13"/>
  <c r="F53" i="13"/>
  <c r="F37" i="13"/>
  <c r="F38" i="13"/>
  <c r="F39" i="13"/>
  <c r="F40" i="13"/>
  <c r="F36" i="13"/>
  <c r="F23" i="13"/>
  <c r="F24" i="13"/>
  <c r="F25" i="13"/>
  <c r="F26" i="13"/>
  <c r="F22" i="13"/>
  <c r="Q13" i="6"/>
  <c r="P13" i="6"/>
  <c r="Q12" i="6"/>
  <c r="P12" i="6"/>
  <c r="I158" i="6"/>
  <c r="I142" i="6"/>
  <c r="P166" i="6"/>
  <c r="N166" i="6"/>
  <c r="L166" i="6"/>
  <c r="K166" i="6"/>
  <c r="G166" i="6"/>
  <c r="E166" i="6"/>
  <c r="C166" i="6"/>
  <c r="B166" i="6"/>
  <c r="P165" i="6"/>
  <c r="N165" i="6"/>
  <c r="L165" i="6"/>
  <c r="K165" i="6"/>
  <c r="G165" i="6"/>
  <c r="E165" i="6"/>
  <c r="C165" i="6"/>
  <c r="B165" i="6"/>
  <c r="P164" i="6"/>
  <c r="N164" i="6"/>
  <c r="L164" i="6"/>
  <c r="K164" i="6"/>
  <c r="G164" i="6"/>
  <c r="E164" i="6"/>
  <c r="C164" i="6"/>
  <c r="B164" i="6"/>
  <c r="P163" i="6"/>
  <c r="N163" i="6"/>
  <c r="L163" i="6"/>
  <c r="K163" i="6"/>
  <c r="G163" i="6"/>
  <c r="E163" i="6"/>
  <c r="C163" i="6"/>
  <c r="B163" i="6"/>
  <c r="P162" i="6"/>
  <c r="N162" i="6"/>
  <c r="L162" i="6"/>
  <c r="K162" i="6"/>
  <c r="G162" i="6"/>
  <c r="E162" i="6"/>
  <c r="C162" i="6"/>
  <c r="B162" i="6"/>
  <c r="P161" i="6"/>
  <c r="N161" i="6"/>
  <c r="L161" i="6"/>
  <c r="K161" i="6"/>
  <c r="G161" i="6"/>
  <c r="E161" i="6"/>
  <c r="C161" i="6"/>
  <c r="B161" i="6"/>
  <c r="P160" i="6"/>
  <c r="N160" i="6"/>
  <c r="K160" i="6"/>
  <c r="L168" i="6" a="1"/>
  <c r="L172" i="6"/>
  <c r="G160" i="6"/>
  <c r="E160" i="6"/>
  <c r="B160" i="6"/>
  <c r="C168" i="6" a="1"/>
  <c r="D170" i="6"/>
  <c r="P150" i="6"/>
  <c r="N150" i="6"/>
  <c r="L150" i="6"/>
  <c r="K150" i="6"/>
  <c r="G150" i="6"/>
  <c r="E150" i="6"/>
  <c r="C150" i="6"/>
  <c r="B150" i="6"/>
  <c r="P149" i="6"/>
  <c r="N149" i="6"/>
  <c r="L149" i="6"/>
  <c r="K149" i="6"/>
  <c r="G149" i="6"/>
  <c r="E149" i="6"/>
  <c r="C149" i="6"/>
  <c r="B149" i="6"/>
  <c r="P148" i="6"/>
  <c r="N148" i="6"/>
  <c r="L148" i="6"/>
  <c r="K148" i="6"/>
  <c r="G148" i="6"/>
  <c r="E148" i="6"/>
  <c r="C148" i="6"/>
  <c r="B148" i="6"/>
  <c r="P147" i="6"/>
  <c r="N147" i="6"/>
  <c r="L147" i="6"/>
  <c r="K147" i="6"/>
  <c r="G147" i="6"/>
  <c r="E147" i="6"/>
  <c r="C147" i="6"/>
  <c r="B147" i="6"/>
  <c r="P146" i="6"/>
  <c r="N146" i="6"/>
  <c r="L146" i="6"/>
  <c r="K146" i="6"/>
  <c r="G146" i="6"/>
  <c r="E146" i="6"/>
  <c r="C146" i="6"/>
  <c r="B146" i="6"/>
  <c r="P145" i="6"/>
  <c r="N145" i="6"/>
  <c r="L145" i="6"/>
  <c r="K145" i="6"/>
  <c r="G145" i="6"/>
  <c r="E145" i="6"/>
  <c r="C145" i="6"/>
  <c r="B145" i="6"/>
  <c r="P144" i="6"/>
  <c r="N144" i="6"/>
  <c r="K144" i="6"/>
  <c r="L152" i="6" a="1"/>
  <c r="L152" i="6"/>
  <c r="N12" i="6"/>
  <c r="G144" i="6"/>
  <c r="E144" i="6"/>
  <c r="B144" i="6"/>
  <c r="C152" i="6" a="1"/>
  <c r="C155" i="6"/>
  <c r="I126" i="6"/>
  <c r="I110" i="6"/>
  <c r="I94" i="6"/>
  <c r="I78" i="6"/>
  <c r="I62" i="6"/>
  <c r="I46" i="6"/>
  <c r="I30" i="6"/>
  <c r="O38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M170" i="6"/>
  <c r="L171" i="6"/>
  <c r="M156" i="6"/>
  <c r="M152" i="6"/>
  <c r="O12" i="6"/>
  <c r="L156" i="6"/>
  <c r="O60" i="9"/>
  <c r="G43" i="22"/>
  <c r="K25" i="17"/>
  <c r="L20" i="19"/>
  <c r="I26" i="9"/>
  <c r="P25" i="17"/>
  <c r="H85" i="13"/>
  <c r="H68" i="13"/>
  <c r="C93" i="13" a="1"/>
  <c r="D97" i="13"/>
  <c r="G91" i="13"/>
  <c r="E91" i="13"/>
  <c r="C91" i="13"/>
  <c r="G90" i="13"/>
  <c r="E90" i="13"/>
  <c r="C90" i="13"/>
  <c r="G89" i="13"/>
  <c r="E89" i="13"/>
  <c r="C89" i="13"/>
  <c r="G88" i="13"/>
  <c r="E88" i="13"/>
  <c r="C88" i="13"/>
  <c r="G87" i="13"/>
  <c r="E87" i="13"/>
  <c r="C76" i="13" a="1"/>
  <c r="C79" i="13"/>
  <c r="G74" i="13"/>
  <c r="E74" i="13"/>
  <c r="C74" i="13"/>
  <c r="G73" i="13"/>
  <c r="E73" i="13"/>
  <c r="C73" i="13"/>
  <c r="G72" i="13"/>
  <c r="E72" i="13"/>
  <c r="C72" i="13"/>
  <c r="G71" i="13"/>
  <c r="E71" i="13"/>
  <c r="C71" i="13"/>
  <c r="G70" i="13"/>
  <c r="E70" i="13"/>
  <c r="Q11" i="6"/>
  <c r="P11" i="6"/>
  <c r="P134" i="6"/>
  <c r="N134" i="6"/>
  <c r="L134" i="6"/>
  <c r="K134" i="6"/>
  <c r="G134" i="6"/>
  <c r="E134" i="6"/>
  <c r="C134" i="6"/>
  <c r="B134" i="6"/>
  <c r="P133" i="6"/>
  <c r="N133" i="6"/>
  <c r="L133" i="6"/>
  <c r="K133" i="6"/>
  <c r="G133" i="6"/>
  <c r="E133" i="6"/>
  <c r="C133" i="6"/>
  <c r="B133" i="6"/>
  <c r="P132" i="6"/>
  <c r="N132" i="6"/>
  <c r="L132" i="6"/>
  <c r="K132" i="6"/>
  <c r="G132" i="6"/>
  <c r="E132" i="6"/>
  <c r="C132" i="6"/>
  <c r="B132" i="6"/>
  <c r="P131" i="6"/>
  <c r="N131" i="6"/>
  <c r="L131" i="6"/>
  <c r="K131" i="6"/>
  <c r="G131" i="6"/>
  <c r="E131" i="6"/>
  <c r="C131" i="6"/>
  <c r="B131" i="6"/>
  <c r="P130" i="6"/>
  <c r="N130" i="6"/>
  <c r="L130" i="6"/>
  <c r="K130" i="6"/>
  <c r="G130" i="6"/>
  <c r="E130" i="6"/>
  <c r="C130" i="6"/>
  <c r="B130" i="6"/>
  <c r="P129" i="6"/>
  <c r="N129" i="6"/>
  <c r="L129" i="6"/>
  <c r="K129" i="6"/>
  <c r="G129" i="6"/>
  <c r="E129" i="6"/>
  <c r="C129" i="6"/>
  <c r="B129" i="6"/>
  <c r="P128" i="6"/>
  <c r="N128" i="6"/>
  <c r="K128" i="6"/>
  <c r="L136" i="6" a="1"/>
  <c r="G128" i="6"/>
  <c r="E128" i="6"/>
  <c r="B128" i="6"/>
  <c r="C136" i="6" a="1"/>
  <c r="C138" i="6"/>
  <c r="D94" i="13"/>
  <c r="C93" i="13"/>
  <c r="L8" i="13"/>
  <c r="C76" i="13"/>
  <c r="L7" i="13"/>
  <c r="C80" i="13"/>
  <c r="D79" i="13"/>
  <c r="C137" i="6"/>
  <c r="D139" i="6"/>
  <c r="L31" i="22"/>
  <c r="O37" i="22"/>
  <c r="O36" i="22"/>
  <c r="O35" i="22"/>
  <c r="O34" i="22"/>
  <c r="O33" i="22"/>
  <c r="O32" i="22"/>
  <c r="O31" i="22"/>
  <c r="O30" i="22"/>
  <c r="D23" i="18"/>
  <c r="D24" i="18"/>
  <c r="D25" i="18"/>
  <c r="D26" i="18"/>
  <c r="C30" i="18" a="1"/>
  <c r="D27" i="18"/>
  <c r="D28" i="18"/>
  <c r="D22" i="18"/>
  <c r="N37" i="22"/>
  <c r="M37" i="22"/>
  <c r="L37" i="22"/>
  <c r="K37" i="22"/>
  <c r="J37" i="22"/>
  <c r="I37" i="22"/>
  <c r="H37" i="22"/>
  <c r="G37" i="22"/>
  <c r="F37" i="22"/>
  <c r="E37" i="22"/>
  <c r="D37" i="22"/>
  <c r="C37" i="22"/>
  <c r="M36" i="22"/>
  <c r="L36" i="22"/>
  <c r="K36" i="22"/>
  <c r="J36" i="22"/>
  <c r="I36" i="22"/>
  <c r="N36" i="22"/>
  <c r="H36" i="22"/>
  <c r="G36" i="22"/>
  <c r="F36" i="22"/>
  <c r="E36" i="22"/>
  <c r="D36" i="22"/>
  <c r="C36" i="22"/>
  <c r="N35" i="22"/>
  <c r="M35" i="22"/>
  <c r="L35" i="22"/>
  <c r="K35" i="22"/>
  <c r="J35" i="22"/>
  <c r="I35" i="22"/>
  <c r="H35" i="22"/>
  <c r="F35" i="22"/>
  <c r="G35" i="22"/>
  <c r="E35" i="22"/>
  <c r="D35" i="22"/>
  <c r="C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C30" i="22"/>
  <c r="L8" i="18"/>
  <c r="C59" i="13" a="1"/>
  <c r="C61" i="13"/>
  <c r="C42" i="13" a="1"/>
  <c r="C43" i="13"/>
  <c r="C42" i="13"/>
  <c r="L5" i="13"/>
  <c r="L9" i="13"/>
  <c r="C28" i="13" a="1"/>
  <c r="C28" i="13"/>
  <c r="L4" i="13"/>
  <c r="D43" i="13"/>
  <c r="D42" i="13"/>
  <c r="M5" i="13"/>
  <c r="C46" i="13"/>
  <c r="C44" i="13"/>
  <c r="D63" i="13"/>
  <c r="D62" i="13"/>
  <c r="D60" i="13"/>
  <c r="D59" i="13"/>
  <c r="M6" i="13"/>
  <c r="C62" i="13"/>
  <c r="C60" i="13"/>
  <c r="D30" i="13"/>
  <c r="D29" i="13"/>
  <c r="C32" i="13"/>
  <c r="C30" i="13"/>
  <c r="I31" i="22"/>
  <c r="J31" i="22"/>
  <c r="K31" i="22"/>
  <c r="M31" i="22"/>
  <c r="G31" i="22"/>
  <c r="F31" i="22"/>
  <c r="E31" i="22"/>
  <c r="D31" i="22"/>
  <c r="C31" i="22"/>
  <c r="J15" i="6"/>
  <c r="N30" i="22"/>
  <c r="M30" i="22"/>
  <c r="L30" i="22"/>
  <c r="K30" i="22"/>
  <c r="J30" i="22"/>
  <c r="I30" i="22"/>
  <c r="H30" i="22"/>
  <c r="G30" i="22"/>
  <c r="F30" i="22"/>
  <c r="E30" i="22"/>
  <c r="D30" i="22"/>
  <c r="A41" i="22"/>
  <c r="M41" i="22"/>
  <c r="K41" i="22"/>
  <c r="F41" i="22"/>
  <c r="K22" i="18"/>
  <c r="N22" i="18"/>
  <c r="P22" i="18"/>
  <c r="K23" i="18"/>
  <c r="M23" i="18"/>
  <c r="L23" i="18"/>
  <c r="N23" i="18"/>
  <c r="P23" i="18"/>
  <c r="K24" i="18"/>
  <c r="M24" i="18"/>
  <c r="L24" i="18"/>
  <c r="N24" i="18"/>
  <c r="P24" i="18"/>
  <c r="K25" i="18"/>
  <c r="M25" i="18"/>
  <c r="L25" i="18"/>
  <c r="N25" i="18"/>
  <c r="P25" i="18"/>
  <c r="K26" i="18"/>
  <c r="M26" i="18"/>
  <c r="L26" i="18"/>
  <c r="N26" i="18"/>
  <c r="P26" i="18"/>
  <c r="K27" i="18"/>
  <c r="M27" i="18"/>
  <c r="L27" i="18"/>
  <c r="N27" i="18"/>
  <c r="P27" i="18"/>
  <c r="K28" i="18"/>
  <c r="M28" i="18"/>
  <c r="L28" i="18"/>
  <c r="N28" i="18"/>
  <c r="P28" i="18"/>
  <c r="M22" i="18"/>
  <c r="Q10" i="6"/>
  <c r="P10" i="6"/>
  <c r="Q9" i="6"/>
  <c r="P9" i="6"/>
  <c r="Q8" i="6"/>
  <c r="P8" i="6"/>
  <c r="Q7" i="6"/>
  <c r="P7" i="6"/>
  <c r="Q6" i="6"/>
  <c r="P6" i="6"/>
  <c r="Q5" i="6"/>
  <c r="P5" i="6"/>
  <c r="P118" i="6"/>
  <c r="N118" i="6"/>
  <c r="L118" i="6"/>
  <c r="K118" i="6"/>
  <c r="G118" i="6"/>
  <c r="E118" i="6"/>
  <c r="C118" i="6"/>
  <c r="B118" i="6"/>
  <c r="P117" i="6"/>
  <c r="N117" i="6"/>
  <c r="L117" i="6"/>
  <c r="K117" i="6"/>
  <c r="G117" i="6"/>
  <c r="E117" i="6"/>
  <c r="C117" i="6"/>
  <c r="B117" i="6"/>
  <c r="P116" i="6"/>
  <c r="N116" i="6"/>
  <c r="L116" i="6"/>
  <c r="K116" i="6"/>
  <c r="G116" i="6"/>
  <c r="E116" i="6"/>
  <c r="C116" i="6"/>
  <c r="B116" i="6"/>
  <c r="P115" i="6"/>
  <c r="N115" i="6"/>
  <c r="L115" i="6"/>
  <c r="K115" i="6"/>
  <c r="G115" i="6"/>
  <c r="E115" i="6"/>
  <c r="C115" i="6"/>
  <c r="B115" i="6"/>
  <c r="P114" i="6"/>
  <c r="N114" i="6"/>
  <c r="L114" i="6"/>
  <c r="K114" i="6"/>
  <c r="G114" i="6"/>
  <c r="E114" i="6"/>
  <c r="C114" i="6"/>
  <c r="B114" i="6"/>
  <c r="P113" i="6"/>
  <c r="N113" i="6"/>
  <c r="L113" i="6"/>
  <c r="K113" i="6"/>
  <c r="G113" i="6"/>
  <c r="E113" i="6"/>
  <c r="C113" i="6"/>
  <c r="B113" i="6"/>
  <c r="P112" i="6"/>
  <c r="N112" i="6"/>
  <c r="K112" i="6"/>
  <c r="L120" i="6" a="1"/>
  <c r="L122" i="6"/>
  <c r="G112" i="6"/>
  <c r="E112" i="6"/>
  <c r="B112" i="6"/>
  <c r="C120" i="6" a="1"/>
  <c r="C122" i="6"/>
  <c r="P102" i="6"/>
  <c r="N102" i="6"/>
  <c r="L102" i="6"/>
  <c r="K102" i="6"/>
  <c r="G102" i="6"/>
  <c r="E102" i="6"/>
  <c r="C102" i="6"/>
  <c r="B102" i="6"/>
  <c r="P101" i="6"/>
  <c r="N101" i="6"/>
  <c r="L101" i="6"/>
  <c r="K101" i="6"/>
  <c r="G101" i="6"/>
  <c r="E101" i="6"/>
  <c r="C101" i="6"/>
  <c r="B101" i="6"/>
  <c r="P100" i="6"/>
  <c r="N100" i="6"/>
  <c r="L100" i="6"/>
  <c r="K100" i="6"/>
  <c r="G100" i="6"/>
  <c r="E100" i="6"/>
  <c r="C100" i="6"/>
  <c r="B100" i="6"/>
  <c r="P99" i="6"/>
  <c r="N99" i="6"/>
  <c r="L99" i="6"/>
  <c r="K99" i="6"/>
  <c r="G99" i="6"/>
  <c r="E99" i="6"/>
  <c r="C99" i="6"/>
  <c r="B99" i="6"/>
  <c r="P98" i="6"/>
  <c r="N98" i="6"/>
  <c r="L98" i="6"/>
  <c r="K98" i="6"/>
  <c r="G98" i="6"/>
  <c r="E98" i="6"/>
  <c r="C98" i="6"/>
  <c r="B98" i="6"/>
  <c r="P97" i="6"/>
  <c r="N97" i="6"/>
  <c r="L97" i="6"/>
  <c r="K97" i="6"/>
  <c r="G97" i="6"/>
  <c r="E97" i="6"/>
  <c r="C97" i="6"/>
  <c r="B97" i="6"/>
  <c r="P96" i="6"/>
  <c r="N96" i="6"/>
  <c r="K96" i="6"/>
  <c r="L104" i="6" a="1"/>
  <c r="G96" i="6"/>
  <c r="E96" i="6"/>
  <c r="B96" i="6"/>
  <c r="P86" i="6"/>
  <c r="N86" i="6"/>
  <c r="L86" i="6"/>
  <c r="K86" i="6"/>
  <c r="G86" i="6"/>
  <c r="E86" i="6"/>
  <c r="C86" i="6"/>
  <c r="B86" i="6"/>
  <c r="P85" i="6"/>
  <c r="N85" i="6"/>
  <c r="L85" i="6"/>
  <c r="K85" i="6"/>
  <c r="G85" i="6"/>
  <c r="E85" i="6"/>
  <c r="C85" i="6"/>
  <c r="B85" i="6"/>
  <c r="P84" i="6"/>
  <c r="N84" i="6"/>
  <c r="L84" i="6"/>
  <c r="K84" i="6"/>
  <c r="G84" i="6"/>
  <c r="E84" i="6"/>
  <c r="C84" i="6"/>
  <c r="B84" i="6"/>
  <c r="P83" i="6"/>
  <c r="N83" i="6"/>
  <c r="L83" i="6"/>
  <c r="K83" i="6"/>
  <c r="G83" i="6"/>
  <c r="E83" i="6"/>
  <c r="C83" i="6"/>
  <c r="B83" i="6"/>
  <c r="P82" i="6"/>
  <c r="N82" i="6"/>
  <c r="L82" i="6"/>
  <c r="K82" i="6"/>
  <c r="G82" i="6"/>
  <c r="E82" i="6"/>
  <c r="C82" i="6"/>
  <c r="B82" i="6"/>
  <c r="P81" i="6"/>
  <c r="N81" i="6"/>
  <c r="L81" i="6"/>
  <c r="K81" i="6"/>
  <c r="G81" i="6"/>
  <c r="E81" i="6"/>
  <c r="C81" i="6"/>
  <c r="B81" i="6"/>
  <c r="P80" i="6"/>
  <c r="N80" i="6"/>
  <c r="K80" i="6"/>
  <c r="L88" i="6" a="1"/>
  <c r="G80" i="6"/>
  <c r="E80" i="6"/>
  <c r="B80" i="6"/>
  <c r="C88" i="6" a="1"/>
  <c r="P70" i="6"/>
  <c r="N70" i="6"/>
  <c r="L70" i="6"/>
  <c r="K70" i="6"/>
  <c r="G70" i="6"/>
  <c r="E70" i="6"/>
  <c r="C70" i="6"/>
  <c r="B70" i="6"/>
  <c r="P69" i="6"/>
  <c r="N69" i="6"/>
  <c r="L69" i="6"/>
  <c r="K69" i="6"/>
  <c r="G69" i="6"/>
  <c r="E69" i="6"/>
  <c r="C69" i="6"/>
  <c r="B69" i="6"/>
  <c r="P68" i="6"/>
  <c r="N68" i="6"/>
  <c r="L68" i="6"/>
  <c r="K68" i="6"/>
  <c r="G68" i="6"/>
  <c r="E68" i="6"/>
  <c r="C68" i="6"/>
  <c r="B68" i="6"/>
  <c r="P67" i="6"/>
  <c r="N67" i="6"/>
  <c r="L67" i="6"/>
  <c r="K67" i="6"/>
  <c r="G67" i="6"/>
  <c r="E67" i="6"/>
  <c r="C67" i="6"/>
  <c r="B67" i="6"/>
  <c r="P66" i="6"/>
  <c r="N66" i="6"/>
  <c r="L66" i="6"/>
  <c r="K66" i="6"/>
  <c r="G66" i="6"/>
  <c r="E66" i="6"/>
  <c r="C66" i="6"/>
  <c r="B66" i="6"/>
  <c r="P65" i="6"/>
  <c r="N65" i="6"/>
  <c r="L65" i="6"/>
  <c r="K65" i="6"/>
  <c r="G65" i="6"/>
  <c r="E65" i="6"/>
  <c r="C65" i="6"/>
  <c r="B65" i="6"/>
  <c r="P64" i="6"/>
  <c r="N64" i="6"/>
  <c r="K64" i="6"/>
  <c r="L72" i="6" a="1"/>
  <c r="G64" i="6"/>
  <c r="E64" i="6"/>
  <c r="B64" i="6"/>
  <c r="C72" i="6" a="1"/>
  <c r="P54" i="6"/>
  <c r="N54" i="6"/>
  <c r="L54" i="6"/>
  <c r="K54" i="6"/>
  <c r="G54" i="6"/>
  <c r="E54" i="6"/>
  <c r="C54" i="6"/>
  <c r="B54" i="6"/>
  <c r="P53" i="6"/>
  <c r="N53" i="6"/>
  <c r="L53" i="6"/>
  <c r="K53" i="6"/>
  <c r="G53" i="6"/>
  <c r="E53" i="6"/>
  <c r="C53" i="6"/>
  <c r="B53" i="6"/>
  <c r="P52" i="6"/>
  <c r="N52" i="6"/>
  <c r="L52" i="6"/>
  <c r="K52" i="6"/>
  <c r="G52" i="6"/>
  <c r="E52" i="6"/>
  <c r="C52" i="6"/>
  <c r="B52" i="6"/>
  <c r="P51" i="6"/>
  <c r="N51" i="6"/>
  <c r="L51" i="6"/>
  <c r="K51" i="6"/>
  <c r="G51" i="6"/>
  <c r="E51" i="6"/>
  <c r="C51" i="6"/>
  <c r="B51" i="6"/>
  <c r="P50" i="6"/>
  <c r="N50" i="6"/>
  <c r="L50" i="6"/>
  <c r="K50" i="6"/>
  <c r="G50" i="6"/>
  <c r="E50" i="6"/>
  <c r="C50" i="6"/>
  <c r="B50" i="6"/>
  <c r="P49" i="6"/>
  <c r="N49" i="6"/>
  <c r="L49" i="6"/>
  <c r="K49" i="6"/>
  <c r="G49" i="6"/>
  <c r="E49" i="6"/>
  <c r="C49" i="6"/>
  <c r="B49" i="6"/>
  <c r="P48" i="6"/>
  <c r="N48" i="6"/>
  <c r="K48" i="6"/>
  <c r="G48" i="6"/>
  <c r="E48" i="6"/>
  <c r="B48" i="6"/>
  <c r="C56" i="6" a="1"/>
  <c r="C60" i="6"/>
  <c r="N6" i="13"/>
  <c r="N5" i="13"/>
  <c r="N4" i="13"/>
  <c r="J9" i="13"/>
  <c r="H51" i="13"/>
  <c r="H34" i="13"/>
  <c r="G57" i="13"/>
  <c r="E57" i="13"/>
  <c r="C57" i="13"/>
  <c r="G56" i="13"/>
  <c r="E56" i="13"/>
  <c r="C56" i="13"/>
  <c r="G55" i="13"/>
  <c r="E55" i="13"/>
  <c r="C55" i="13"/>
  <c r="G54" i="13"/>
  <c r="E54" i="13"/>
  <c r="C54" i="13"/>
  <c r="G53" i="13"/>
  <c r="E53" i="13"/>
  <c r="G40" i="13"/>
  <c r="E40" i="13"/>
  <c r="C40" i="13"/>
  <c r="G39" i="13"/>
  <c r="E39" i="13"/>
  <c r="C39" i="13"/>
  <c r="G38" i="13"/>
  <c r="E38" i="13"/>
  <c r="C38" i="13"/>
  <c r="G37" i="13"/>
  <c r="E37" i="13"/>
  <c r="C37" i="13"/>
  <c r="G36" i="13"/>
  <c r="E36" i="13"/>
  <c r="C104" i="6" a="1"/>
  <c r="C108" i="6"/>
  <c r="C120" i="6"/>
  <c r="L10" i="6"/>
  <c r="C123" i="6"/>
  <c r="D121" i="6"/>
  <c r="L56" i="6" a="1"/>
  <c r="L57" i="6"/>
  <c r="C105" i="6"/>
  <c r="D107" i="6"/>
  <c r="B35" i="18"/>
  <c r="D35" i="18"/>
  <c r="B36" i="18"/>
  <c r="D36" i="18"/>
  <c r="B37" i="18"/>
  <c r="D37" i="18"/>
  <c r="B38" i="18"/>
  <c r="D38" i="18"/>
  <c r="B39" i="18"/>
  <c r="D39" i="18"/>
  <c r="B40" i="18"/>
  <c r="D40" i="18"/>
  <c r="B34" i="18"/>
  <c r="D34" i="18"/>
  <c r="E15" i="13"/>
  <c r="L41" i="19"/>
  <c r="T41" i="19"/>
  <c r="H20" i="13"/>
  <c r="D6" i="13"/>
  <c r="D5" i="13"/>
  <c r="D4" i="13"/>
  <c r="A1" i="13"/>
  <c r="E5" i="6"/>
  <c r="A1" i="6"/>
  <c r="E13" i="18"/>
  <c r="N33" i="9"/>
  <c r="N34" i="9"/>
  <c r="N32" i="9"/>
  <c r="K34" i="9"/>
  <c r="K33" i="9"/>
  <c r="K32" i="9"/>
  <c r="C34" i="9"/>
  <c r="C33" i="9"/>
  <c r="C32" i="9"/>
  <c r="H11" i="9"/>
  <c r="H10" i="9"/>
  <c r="H9" i="9"/>
  <c r="H8" i="9"/>
  <c r="H7" i="9"/>
  <c r="H6" i="9"/>
  <c r="H5" i="9"/>
  <c r="H4" i="9"/>
  <c r="O42" i="19"/>
  <c r="M33" i="9"/>
  <c r="O43" i="19"/>
  <c r="M34" i="9"/>
  <c r="O41" i="19"/>
  <c r="M32" i="9"/>
  <c r="L42" i="19"/>
  <c r="T42" i="19"/>
  <c r="L43" i="19"/>
  <c r="T43" i="19"/>
  <c r="C42" i="19"/>
  <c r="C43" i="19"/>
  <c r="C41" i="19"/>
  <c r="I10" i="19"/>
  <c r="I11" i="19"/>
  <c r="I12" i="19"/>
  <c r="I13" i="19"/>
  <c r="I14" i="19"/>
  <c r="I9" i="19"/>
  <c r="L6" i="19"/>
  <c r="L5" i="19"/>
  <c r="L18" i="19"/>
  <c r="Q18" i="19"/>
  <c r="U18" i="19"/>
  <c r="Q24" i="9"/>
  <c r="B19" i="19"/>
  <c r="L19" i="19"/>
  <c r="I25" i="9"/>
  <c r="Q19" i="19"/>
  <c r="M25" i="9"/>
  <c r="U19" i="19"/>
  <c r="Q20" i="19"/>
  <c r="M26" i="9"/>
  <c r="U20" i="19"/>
  <c r="C25" i="19"/>
  <c r="J25" i="19"/>
  <c r="L25" i="19"/>
  <c r="N25" i="19"/>
  <c r="P25" i="19"/>
  <c r="B26" i="19"/>
  <c r="C26" i="19"/>
  <c r="J26" i="19"/>
  <c r="L26" i="19"/>
  <c r="N26" i="19"/>
  <c r="P26" i="19"/>
  <c r="C27" i="19"/>
  <c r="J27" i="19"/>
  <c r="R27" i="19"/>
  <c r="C31" i="19"/>
  <c r="K31" i="19"/>
  <c r="O31" i="19"/>
  <c r="K63" i="19"/>
  <c r="B32" i="19"/>
  <c r="B33" i="19"/>
  <c r="B34" i="19"/>
  <c r="B35" i="19"/>
  <c r="B36" i="19"/>
  <c r="B37" i="19"/>
  <c r="C32" i="19"/>
  <c r="K32" i="19"/>
  <c r="C33" i="19"/>
  <c r="K33" i="19"/>
  <c r="C34" i="19"/>
  <c r="K34" i="19"/>
  <c r="C35" i="19"/>
  <c r="K35" i="19"/>
  <c r="C36" i="19"/>
  <c r="K36" i="19"/>
  <c r="C37" i="19"/>
  <c r="K37" i="19"/>
  <c r="C60" i="19"/>
  <c r="C41" i="9"/>
  <c r="C24" i="9"/>
  <c r="B30" i="17"/>
  <c r="B31" i="17"/>
  <c r="Q25" i="9"/>
  <c r="Q26" i="9"/>
  <c r="M24" i="9"/>
  <c r="I24" i="9"/>
  <c r="E40" i="18"/>
  <c r="G40" i="18"/>
  <c r="C40" i="18"/>
  <c r="E39" i="18"/>
  <c r="G39" i="18"/>
  <c r="C39" i="18"/>
  <c r="E38" i="18"/>
  <c r="G38" i="18"/>
  <c r="C38" i="18"/>
  <c r="E37" i="18"/>
  <c r="G37" i="18"/>
  <c r="C37" i="18"/>
  <c r="E36" i="18"/>
  <c r="G36" i="18"/>
  <c r="C36" i="18"/>
  <c r="E35" i="18"/>
  <c r="G35" i="18"/>
  <c r="C35" i="18"/>
  <c r="E34" i="18"/>
  <c r="G34" i="18"/>
  <c r="D6" i="18"/>
  <c r="D5" i="18"/>
  <c r="D4" i="18"/>
  <c r="E28" i="18"/>
  <c r="G28" i="18"/>
  <c r="C28" i="18"/>
  <c r="E27" i="18"/>
  <c r="G27" i="18"/>
  <c r="C27" i="18"/>
  <c r="E26" i="18"/>
  <c r="G26" i="18"/>
  <c r="C26" i="18"/>
  <c r="E25" i="18"/>
  <c r="G25" i="18"/>
  <c r="C25" i="18"/>
  <c r="E24" i="18"/>
  <c r="G24" i="18"/>
  <c r="C24" i="18"/>
  <c r="E23" i="18"/>
  <c r="G23" i="18"/>
  <c r="C23" i="18"/>
  <c r="E22" i="18"/>
  <c r="G22" i="18"/>
  <c r="B36" i="17"/>
  <c r="B37" i="17"/>
  <c r="B24" i="17"/>
  <c r="P38" i="6"/>
  <c r="P37" i="6"/>
  <c r="P36" i="6"/>
  <c r="P35" i="6"/>
  <c r="P34" i="6"/>
  <c r="P33" i="6"/>
  <c r="P32" i="6"/>
  <c r="N38" i="6"/>
  <c r="N37" i="6"/>
  <c r="N36" i="6"/>
  <c r="N35" i="6"/>
  <c r="N34" i="6"/>
  <c r="N33" i="6"/>
  <c r="N32" i="6"/>
  <c r="L38" i="6"/>
  <c r="L37" i="6"/>
  <c r="L36" i="6"/>
  <c r="L35" i="6"/>
  <c r="L34" i="6"/>
  <c r="L33" i="6"/>
  <c r="K33" i="6"/>
  <c r="K34" i="6"/>
  <c r="K35" i="6"/>
  <c r="K36" i="6"/>
  <c r="K37" i="6"/>
  <c r="K38" i="6"/>
  <c r="G38" i="6"/>
  <c r="G37" i="6"/>
  <c r="G36" i="6"/>
  <c r="G35" i="6"/>
  <c r="G34" i="6"/>
  <c r="G33" i="6"/>
  <c r="G32" i="6"/>
  <c r="E38" i="6"/>
  <c r="E37" i="6"/>
  <c r="E36" i="6"/>
  <c r="E35" i="6"/>
  <c r="E34" i="6"/>
  <c r="E33" i="6"/>
  <c r="E32" i="6"/>
  <c r="C38" i="6"/>
  <c r="C37" i="6"/>
  <c r="C36" i="6"/>
  <c r="C35" i="6"/>
  <c r="C34" i="6"/>
  <c r="C33" i="6"/>
  <c r="B33" i="6"/>
  <c r="B34" i="6"/>
  <c r="B35" i="6"/>
  <c r="B36" i="6"/>
  <c r="B37" i="6"/>
  <c r="B38" i="6"/>
  <c r="G24" i="13"/>
  <c r="G25" i="13"/>
  <c r="G26" i="13"/>
  <c r="E24" i="13"/>
  <c r="E25" i="13"/>
  <c r="E26" i="13"/>
  <c r="C24" i="13"/>
  <c r="C25" i="13"/>
  <c r="C26" i="13"/>
  <c r="G23" i="13"/>
  <c r="G22" i="13"/>
  <c r="E23" i="13"/>
  <c r="E22" i="13"/>
  <c r="C23" i="13"/>
  <c r="G6" i="2"/>
  <c r="E24" i="6"/>
  <c r="K32" i="6"/>
  <c r="L40" i="6" a="1"/>
  <c r="G9" i="2"/>
  <c r="G8" i="2"/>
  <c r="I9" i="2"/>
  <c r="K9" i="2"/>
  <c r="L9" i="2"/>
  <c r="M9" i="2"/>
  <c r="B32" i="6"/>
  <c r="C40" i="6" a="1"/>
  <c r="AA51" i="19"/>
  <c r="E6" i="6"/>
  <c r="D74" i="6"/>
  <c r="D75" i="6"/>
  <c r="D76" i="6"/>
  <c r="D72" i="6"/>
  <c r="M7" i="6"/>
  <c r="C72" i="6"/>
  <c r="L7" i="6"/>
  <c r="C73" i="6"/>
  <c r="C75" i="6"/>
  <c r="D73" i="6"/>
  <c r="C76" i="6"/>
  <c r="C74" i="6"/>
  <c r="L30" i="18" a="1"/>
  <c r="C30" i="18"/>
  <c r="N5" i="18"/>
  <c r="D30" i="18"/>
  <c r="O5" i="18"/>
  <c r="L139" i="6"/>
  <c r="M138" i="6"/>
  <c r="M137" i="6"/>
  <c r="M139" i="6"/>
  <c r="L140" i="6"/>
  <c r="M136" i="6"/>
  <c r="O11" i="6"/>
  <c r="L136" i="6"/>
  <c r="N11" i="6"/>
  <c r="L138" i="6"/>
  <c r="M140" i="6"/>
  <c r="L137" i="6"/>
  <c r="M91" i="6"/>
  <c r="M90" i="6"/>
  <c r="L92" i="6"/>
  <c r="L88" i="6"/>
  <c r="N8" i="6"/>
  <c r="L91" i="6"/>
  <c r="M89" i="6"/>
  <c r="L89" i="6"/>
  <c r="M88" i="6"/>
  <c r="O8" i="6"/>
  <c r="L90" i="6"/>
  <c r="M92" i="6"/>
  <c r="M43" i="6"/>
  <c r="L40" i="6"/>
  <c r="N5" i="6"/>
  <c r="M40" i="6"/>
  <c r="O5" i="6"/>
  <c r="L42" i="6"/>
  <c r="M41" i="6"/>
  <c r="L43" i="6"/>
  <c r="L44" i="6"/>
  <c r="L41" i="6"/>
  <c r="M42" i="6"/>
  <c r="M44" i="6"/>
  <c r="C88" i="6"/>
  <c r="L8" i="6"/>
  <c r="C91" i="6"/>
  <c r="C89" i="6"/>
  <c r="D88" i="6"/>
  <c r="M8" i="6"/>
  <c r="C92" i="6"/>
  <c r="C90" i="6"/>
  <c r="D92" i="6"/>
  <c r="D90" i="6"/>
  <c r="D89" i="6"/>
  <c r="D91" i="6"/>
  <c r="M73" i="6"/>
  <c r="L72" i="6"/>
  <c r="N7" i="6"/>
  <c r="M74" i="6"/>
  <c r="L73" i="6"/>
  <c r="M75" i="6"/>
  <c r="L74" i="6"/>
  <c r="M76" i="6"/>
  <c r="L75" i="6"/>
  <c r="L76" i="6"/>
  <c r="M72" i="6"/>
  <c r="O7" i="6"/>
  <c r="D43" i="6"/>
  <c r="C40" i="6"/>
  <c r="L5" i="6"/>
  <c r="D40" i="6"/>
  <c r="M5" i="6"/>
  <c r="M15" i="6"/>
  <c r="C41" i="6"/>
  <c r="D41" i="6"/>
  <c r="C43" i="6"/>
  <c r="D42" i="6"/>
  <c r="C42" i="6"/>
  <c r="C44" i="6"/>
  <c r="D44" i="6"/>
  <c r="M107" i="6"/>
  <c r="L108" i="6"/>
  <c r="M106" i="6"/>
  <c r="M104" i="6"/>
  <c r="O9" i="6"/>
  <c r="L106" i="6"/>
  <c r="M105" i="6"/>
  <c r="L105" i="6"/>
  <c r="L107" i="6"/>
  <c r="M108" i="6"/>
  <c r="L104" i="6"/>
  <c r="N9" i="6"/>
  <c r="D155" i="6"/>
  <c r="M60" i="6"/>
  <c r="C57" i="6"/>
  <c r="D123" i="6"/>
  <c r="M9" i="13"/>
  <c r="D137" i="6"/>
  <c r="C139" i="6"/>
  <c r="C78" i="13"/>
  <c r="D96" i="13"/>
  <c r="L153" i="6"/>
  <c r="D153" i="6"/>
  <c r="C156" i="6"/>
  <c r="D171" i="6"/>
  <c r="M168" i="6"/>
  <c r="O13" i="6"/>
  <c r="L59" i="6"/>
  <c r="C107" i="6"/>
  <c r="D57" i="6"/>
  <c r="M124" i="6"/>
  <c r="L121" i="6"/>
  <c r="C121" i="6"/>
  <c r="M57" i="6"/>
  <c r="D108" i="6"/>
  <c r="C106" i="6"/>
  <c r="C59" i="6"/>
  <c r="D59" i="6"/>
  <c r="M123" i="6"/>
  <c r="D122" i="6"/>
  <c r="D28" i="13"/>
  <c r="M4" i="13"/>
  <c r="C63" i="13"/>
  <c r="C45" i="13"/>
  <c r="D45" i="13"/>
  <c r="N8" i="18"/>
  <c r="D138" i="6"/>
  <c r="C140" i="6"/>
  <c r="C77" i="13"/>
  <c r="D95" i="13"/>
  <c r="L154" i="6"/>
  <c r="D154" i="6"/>
  <c r="C169" i="6"/>
  <c r="D172" i="6"/>
  <c r="M169" i="6"/>
  <c r="L120" i="6"/>
  <c r="N10" i="6"/>
  <c r="P15" i="6"/>
  <c r="X25" i="19"/>
  <c r="K14" i="9"/>
  <c r="D140" i="6"/>
  <c r="D78" i="13"/>
  <c r="C96" i="13"/>
  <c r="D93" i="13"/>
  <c r="M8" i="13"/>
  <c r="M153" i="6"/>
  <c r="D156" i="6"/>
  <c r="C171" i="6"/>
  <c r="L168" i="6"/>
  <c r="N13" i="6"/>
  <c r="M171" i="6"/>
  <c r="C168" i="6"/>
  <c r="L13" i="6"/>
  <c r="L56" i="6"/>
  <c r="N6" i="6"/>
  <c r="D106" i="6"/>
  <c r="D56" i="6"/>
  <c r="M6" i="6"/>
  <c r="C56" i="6"/>
  <c r="L6" i="6"/>
  <c r="M121" i="6"/>
  <c r="C42" i="18" a="1"/>
  <c r="L60" i="6"/>
  <c r="D105" i="6"/>
  <c r="C104" i="6"/>
  <c r="L9" i="6"/>
  <c r="D58" i="6"/>
  <c r="D120" i="6"/>
  <c r="M10" i="6"/>
  <c r="N9" i="13"/>
  <c r="X27" i="19"/>
  <c r="K16" i="9"/>
  <c r="D31" i="13"/>
  <c r="D61" i="13"/>
  <c r="D44" i="13"/>
  <c r="C59" i="13"/>
  <c r="L6" i="13"/>
  <c r="D77" i="13"/>
  <c r="C95" i="13"/>
  <c r="M154" i="6"/>
  <c r="C152" i="6"/>
  <c r="L12" i="6"/>
  <c r="C172" i="6"/>
  <c r="L169" i="6"/>
  <c r="M172" i="6"/>
  <c r="M122" i="6"/>
  <c r="M58" i="6"/>
  <c r="M59" i="6"/>
  <c r="D60" i="6"/>
  <c r="M56" i="6"/>
  <c r="O6" i="6"/>
  <c r="M120" i="6"/>
  <c r="O10" i="6"/>
  <c r="C124" i="6"/>
  <c r="C29" i="13"/>
  <c r="D32" i="13"/>
  <c r="D46" i="13"/>
  <c r="C136" i="6"/>
  <c r="L11" i="6"/>
  <c r="D76" i="13"/>
  <c r="M7" i="13"/>
  <c r="C94" i="13"/>
  <c r="D80" i="13"/>
  <c r="C97" i="13"/>
  <c r="L155" i="6"/>
  <c r="M155" i="6"/>
  <c r="C153" i="6"/>
  <c r="D168" i="6"/>
  <c r="M13" i="6"/>
  <c r="L170" i="6"/>
  <c r="L58" i="6"/>
  <c r="D104" i="6"/>
  <c r="M9" i="6"/>
  <c r="C58" i="6"/>
  <c r="L124" i="6"/>
  <c r="C154" i="6"/>
  <c r="D169" i="6"/>
  <c r="C170" i="6"/>
  <c r="L123" i="6"/>
  <c r="D124" i="6"/>
  <c r="C31" i="13"/>
  <c r="D136" i="6"/>
  <c r="M11" i="6"/>
  <c r="D152" i="6"/>
  <c r="M12" i="6"/>
  <c r="U27" i="19"/>
  <c r="I16" i="9"/>
  <c r="N41" i="22"/>
  <c r="Q15" i="6"/>
  <c r="X26" i="19"/>
  <c r="K15" i="9"/>
  <c r="AC51" i="19"/>
  <c r="F6" i="2"/>
  <c r="I6" i="2"/>
  <c r="K6" i="2"/>
  <c r="L6" i="2"/>
  <c r="M6" i="2"/>
  <c r="O41" i="22"/>
  <c r="J41" i="22"/>
  <c r="G41" i="22"/>
  <c r="N15" i="6"/>
  <c r="R26" i="19"/>
  <c r="C41" i="22"/>
  <c r="D41" i="22"/>
  <c r="H41" i="22"/>
  <c r="L41" i="22"/>
  <c r="E41" i="22"/>
  <c r="I41" i="22"/>
  <c r="O15" i="6"/>
  <c r="L15" i="6"/>
  <c r="R25" i="19"/>
  <c r="S31" i="19"/>
  <c r="H19" i="9"/>
  <c r="P8" i="18"/>
  <c r="AA41" i="19"/>
  <c r="O8" i="18"/>
  <c r="D55" i="19"/>
  <c r="C42" i="18"/>
  <c r="N7" i="18"/>
  <c r="D42" i="18"/>
  <c r="O7" i="18"/>
  <c r="L30" i="18"/>
  <c r="N6" i="18"/>
  <c r="M30" i="18"/>
  <c r="O6" i="18"/>
  <c r="U25" i="19"/>
  <c r="I14" i="9"/>
  <c r="U26" i="19"/>
  <c r="I15" i="9"/>
  <c r="AE41" i="19"/>
  <c r="H35" i="9"/>
  <c r="K64" i="19"/>
  <c r="F7" i="2"/>
  <c r="I7" i="2"/>
  <c r="K7" i="2"/>
  <c r="L7" i="2"/>
  <c r="V55" i="19"/>
  <c r="Y55" i="19"/>
  <c r="I60" i="19"/>
  <c r="L60" i="19"/>
  <c r="K65" i="19"/>
  <c r="N63" i="19"/>
  <c r="V60" i="19"/>
  <c r="M7" i="2"/>
  <c r="M10" i="2"/>
  <c r="L10" i="2"/>
  <c r="L11" i="2"/>
  <c r="O60" i="19"/>
  <c r="L12" i="2"/>
  <c r="L13" i="2"/>
  <c r="L14" i="2"/>
  <c r="H20" i="9"/>
  <c r="AB60" i="19"/>
  <c r="Y60" i="19"/>
  <c r="G49" i="9"/>
  <c r="G48" i="9"/>
  <c r="L15" i="2"/>
  <c r="J55" i="19"/>
</calcChain>
</file>

<file path=xl/sharedStrings.xml><?xml version="1.0" encoding="utf-8"?>
<sst xmlns="http://schemas.openxmlformats.org/spreadsheetml/2006/main" count="960" uniqueCount="285">
  <si>
    <t>Merk</t>
  </si>
  <si>
    <t>Model/Type</t>
  </si>
  <si>
    <t>Nomor Seri</t>
  </si>
  <si>
    <t>Tanggal Kalibrasi</t>
  </si>
  <si>
    <t>Nama Alat</t>
  </si>
  <si>
    <t>Suhu</t>
  </si>
  <si>
    <t>Kelembaban</t>
  </si>
  <si>
    <t>Awal</t>
  </si>
  <si>
    <t>Akhir</t>
  </si>
  <si>
    <t>Mean</t>
  </si>
  <si>
    <t>:</t>
  </si>
  <si>
    <t>Komponen</t>
  </si>
  <si>
    <t>Distribusi</t>
  </si>
  <si>
    <t>U</t>
  </si>
  <si>
    <t>Pembagi</t>
  </si>
  <si>
    <t>v</t>
  </si>
  <si>
    <t>u</t>
  </si>
  <si>
    <t>c</t>
  </si>
  <si>
    <t>(u.c)</t>
  </si>
  <si>
    <t>Pembacaan berulang</t>
  </si>
  <si>
    <t>normal</t>
  </si>
  <si>
    <t>Segi 4</t>
  </si>
  <si>
    <t>Jumlah</t>
  </si>
  <si>
    <t>Ketidakpastian baku gabungan, Uc</t>
  </si>
  <si>
    <t>Derajat kebebasan efektif, V eff</t>
  </si>
  <si>
    <t>Ketidakpastian bentangan, U=k.Uc</t>
  </si>
  <si>
    <t>Faktor cakupan, k-student untuk Veff dan CL 95%</t>
  </si>
  <si>
    <t>±</t>
  </si>
  <si>
    <t>)% RH</t>
  </si>
  <si>
    <t>Catatan :</t>
  </si>
  <si>
    <t>o</t>
  </si>
  <si>
    <t>%</t>
  </si>
  <si>
    <t>1.</t>
  </si>
  <si>
    <t>Fisik Alat</t>
  </si>
  <si>
    <t>2.</t>
  </si>
  <si>
    <t>Fungsi Alat</t>
  </si>
  <si>
    <t>)°C</t>
  </si>
  <si>
    <t>No</t>
  </si>
  <si>
    <t>Parameter</t>
  </si>
  <si>
    <t>Ambang Batas</t>
  </si>
  <si>
    <t>Terukur</t>
  </si>
  <si>
    <t>3.</t>
  </si>
  <si>
    <t>4.</t>
  </si>
  <si>
    <t>5.</t>
  </si>
  <si>
    <t>6.</t>
  </si>
  <si>
    <t>Vac</t>
  </si>
  <si>
    <t>Toleransi</t>
  </si>
  <si>
    <t>score</t>
  </si>
  <si>
    <t>Pengukuran Keselamatan Listrik</t>
  </si>
  <si>
    <t>Satuan</t>
  </si>
  <si>
    <t>Type</t>
  </si>
  <si>
    <t>No.</t>
  </si>
  <si>
    <t>Penunjukan Standar</t>
  </si>
  <si>
    <t>Penunjukan Alat</t>
  </si>
  <si>
    <t xml:space="preserve">Koreksi 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</si>
  <si>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charset val="1"/>
      </rPr>
      <t>C</t>
    </r>
  </si>
  <si>
    <t>No. Seri</t>
  </si>
  <si>
    <t>Electrical Safety Analyzer</t>
  </si>
  <si>
    <t>Tegangan Input</t>
  </si>
  <si>
    <t>Tempat Kalibrasi</t>
  </si>
  <si>
    <t>Temperatur Ruangan</t>
  </si>
  <si>
    <t>°C</t>
  </si>
  <si>
    <t>Kelembaban Ruangan</t>
  </si>
  <si>
    <t>Sumber Tegangan</t>
  </si>
  <si>
    <t>Thermohygrometer</t>
  </si>
  <si>
    <t>Batasan Pemeriksaan</t>
  </si>
  <si>
    <t>Hasil Pengamatan</t>
  </si>
  <si>
    <t>Badan dan permukaan</t>
  </si>
  <si>
    <t>selungkup utuh, bersih, terpasang ketat satu dan lainnya dan tidak ada bekas tertimpa cairan ataupun gangguan lainnya.</t>
  </si>
  <si>
    <t>Kotak kontak alat</t>
  </si>
  <si>
    <t>Periksa apakah ada gangguan pada kotak kontak (AC-Power). Gerak-gerakkan kotak kontak untuk memastikan keamanannya. Goyang-goyangkan kotak kontak untuk memastikan tidak ada baut atau mur yang longgar.</t>
  </si>
  <si>
    <t>Kabel catu utama</t>
  </si>
  <si>
    <t>Periksa kabel, apakah terlihat ada kerusakan atau bagian isolasi yang terkelupas.</t>
  </si>
  <si>
    <t>Model/type</t>
  </si>
  <si>
    <t>Nomor seri</t>
  </si>
  <si>
    <r>
      <t>(u.c)</t>
    </r>
    <r>
      <rPr>
        <b/>
        <sz val="11"/>
        <color theme="1"/>
        <rFont val="Calibri"/>
        <family val="2"/>
      </rPr>
      <t>²</t>
    </r>
  </si>
  <si>
    <r>
      <t>(u.c)</t>
    </r>
    <r>
      <rPr>
        <b/>
        <sz val="11"/>
        <color theme="1"/>
        <rFont val="Calibri"/>
        <family val="2"/>
      </rPr>
      <t>⁴/v</t>
    </r>
  </si>
  <si>
    <t xml:space="preserve">Sertifikat Standar </t>
  </si>
  <si>
    <t>Drift alat standar</t>
  </si>
  <si>
    <t>resolusi UUT</t>
  </si>
  <si>
    <t xml:space="preserve"> </t>
  </si>
  <si>
    <t>Ketertelusuran</t>
  </si>
  <si>
    <t>LK-110-IDN</t>
  </si>
  <si>
    <t xml:space="preserve">Kesimpulan </t>
  </si>
  <si>
    <t>Saran</t>
  </si>
  <si>
    <t>µA</t>
  </si>
  <si>
    <t>uncert</t>
  </si>
  <si>
    <t>BUDGET KETIDAKPASTIAN</t>
  </si>
  <si>
    <t>LK-032-IDN</t>
  </si>
  <si>
    <t>Puslit Metrologi LIPI</t>
  </si>
  <si>
    <t xml:space="preserve">HASIL REKALIBRASI </t>
  </si>
  <si>
    <t>(BPFK)</t>
  </si>
  <si>
    <t>(PT. Kaliman)</t>
  </si>
  <si>
    <t>slope b =</t>
  </si>
  <si>
    <t>standard deviation of slope :</t>
  </si>
  <si>
    <t>Coefficient of determination : r2</t>
  </si>
  <si>
    <t>Fisher F-statistics</t>
  </si>
  <si>
    <t>Sum of square due to regression</t>
  </si>
  <si>
    <t>= intersept : a</t>
  </si>
  <si>
    <t>= standard deviation of intercept</t>
  </si>
  <si>
    <t>= standard error of regression</t>
  </si>
  <si>
    <t>= Degree of the regression</t>
  </si>
  <si>
    <t>= sum of square due to residual</t>
  </si>
  <si>
    <t>Max</t>
  </si>
  <si>
    <t>Mean terkoreksi</t>
  </si>
  <si>
    <t>Fluke</t>
  </si>
  <si>
    <t>V</t>
  </si>
  <si>
    <t>ESA 615</t>
  </si>
  <si>
    <t xml:space="preserve"> ≤ 500 µA</t>
  </si>
  <si>
    <t>Resistansi isolasi</t>
  </si>
  <si>
    <t>MΩ</t>
  </si>
  <si>
    <t>&gt; 2 MΩ</t>
  </si>
  <si>
    <t>terukur std</t>
  </si>
  <si>
    <t>kesimpulan</t>
  </si>
  <si>
    <t>:     (</t>
  </si>
  <si>
    <t>Kesimpulan :</t>
  </si>
  <si>
    <t>Koreksi</t>
  </si>
  <si>
    <t>Hasil</t>
  </si>
  <si>
    <t>Penunjukan alat</t>
  </si>
  <si>
    <t>T1</t>
  </si>
  <si>
    <t>T2</t>
  </si>
  <si>
    <t>T3</t>
  </si>
  <si>
    <t>T4</t>
  </si>
  <si>
    <t>T5</t>
  </si>
  <si>
    <t>1.1.</t>
  </si>
  <si>
    <t>fungsi alat</t>
  </si>
  <si>
    <t>telaah teknis</t>
  </si>
  <si>
    <t>Kesimpulan</t>
  </si>
  <si>
    <t>%RH</t>
  </si>
  <si>
    <t>awal</t>
  </si>
  <si>
    <t>akhir</t>
  </si>
  <si>
    <t>rata2</t>
  </si>
  <si>
    <t>Koreksi Sertifikat</t>
  </si>
  <si>
    <t>Ktps</t>
  </si>
  <si>
    <t>hasil</t>
  </si>
  <si>
    <t>Ketidakpastian Pengukuran :</t>
  </si>
  <si>
    <t>I.</t>
  </si>
  <si>
    <t>Data Sarana Pelayanan Kesehatan</t>
  </si>
  <si>
    <t>1. Nama Sarana Pelayanan Kesehatan</t>
  </si>
  <si>
    <t>2. Alamat</t>
  </si>
  <si>
    <t>II.</t>
  </si>
  <si>
    <t>Data Alat</t>
  </si>
  <si>
    <t>Merek</t>
  </si>
  <si>
    <t>Type / Model</t>
  </si>
  <si>
    <t>Serial Number</t>
  </si>
  <si>
    <t>Ruang Kalibrasi</t>
  </si>
  <si>
    <t>III.</t>
  </si>
  <si>
    <t>Daftar Alat Yang Digunakan</t>
  </si>
  <si>
    <t>IV.</t>
  </si>
  <si>
    <t>Pengukuran Kondisi Lingkungan</t>
  </si>
  <si>
    <t xml:space="preserve">V. </t>
  </si>
  <si>
    <t>Pemeriksaan Konfisi Fisik dan Fungsi Alat</t>
  </si>
  <si>
    <t>VI.</t>
  </si>
  <si>
    <t xml:space="preserve">Resistansi pembumian protektif </t>
  </si>
  <si>
    <t>Ω</t>
  </si>
  <si>
    <t>≤ 0,3 Ω</t>
  </si>
  <si>
    <t>Arus bocor peralatan metode langsung</t>
  </si>
  <si>
    <t>VII.</t>
  </si>
  <si>
    <t>Pengukuran Kinerja</t>
  </si>
  <si>
    <t>VIII.</t>
  </si>
  <si>
    <t>INKUBATOR BAYI</t>
  </si>
  <si>
    <t>PENGOLAHAN DATA</t>
  </si>
  <si>
    <t>Ruang</t>
  </si>
  <si>
    <t>≤</t>
  </si>
  <si>
    <t>&gt;</t>
  </si>
  <si>
    <t>Nama Pemilik</t>
  </si>
  <si>
    <t>Petugas Kalibrasi</t>
  </si>
  <si>
    <t>Hasil Pengukuran Kondisi Lingkungan</t>
  </si>
  <si>
    <t>Hasil Pemeriksaan Konfisi Fisik dan Fungsi Alat</t>
  </si>
  <si>
    <t xml:space="preserve">III. </t>
  </si>
  <si>
    <t xml:space="preserve">Ambang Batas      </t>
  </si>
  <si>
    <t>yang diijinkan</t>
  </si>
  <si>
    <t>Telaah Teknis dan Kesimpulan</t>
  </si>
  <si>
    <t xml:space="preserve">Metode Dan Peraturan Yang Digunakan </t>
  </si>
  <si>
    <t>1. PERMENKES No. 54 Tahun 2015, Tentang Pengujian  dan Kalibrasi Alat Kesehatan.</t>
  </si>
  <si>
    <t>Mengetahui,</t>
  </si>
  <si>
    <t>Ka. Instalasi Pengujian dan Kalibrasi</t>
  </si>
  <si>
    <t>SRI ALFANI. ST</t>
  </si>
  <si>
    <t>NIP. 19720505 199603 2 002</t>
  </si>
  <si>
    <t>Ketidakpastian pengukuran diestimasi pada tingkat kepercayaan  95 %  K=2</t>
  </si>
  <si>
    <t>PT. Kaliman</t>
  </si>
  <si>
    <t>PENGUJIAN KINERJA</t>
  </si>
  <si>
    <t>Ruangan</t>
  </si>
  <si>
    <t>TC</t>
  </si>
  <si>
    <t xml:space="preserve">2. Keputusan Direktur Jenderal Pelayanan Kesehatan No. HK.02.02/V/0412/2020, </t>
  </si>
  <si>
    <t>Bobot</t>
  </si>
  <si>
    <t>Total</t>
  </si>
  <si>
    <t>Pemeriksaan Fisik dan Fungsi Alat</t>
  </si>
  <si>
    <t>Telaah Teknis Hasil Pengukuran</t>
  </si>
  <si>
    <t>)Vac</t>
  </si>
  <si>
    <t>117l15116</t>
  </si>
  <si>
    <t>SUMMARY</t>
  </si>
  <si>
    <t>Data Esa</t>
  </si>
  <si>
    <t>SN</t>
  </si>
  <si>
    <t>b</t>
  </si>
  <si>
    <t>a</t>
  </si>
  <si>
    <t>GFTB 100</t>
  </si>
  <si>
    <t>GFTB 200</t>
  </si>
  <si>
    <t>021210-02</t>
  </si>
  <si>
    <t>Data Thermohygro</t>
  </si>
  <si>
    <t>U Temp</t>
  </si>
  <si>
    <t>U Hygro</t>
  </si>
  <si>
    <t>DRIFT = Koreksi Tahun ini - Koreksi Tahun Sebelumnya</t>
  </si>
  <si>
    <t>DRIFT</t>
  </si>
  <si>
    <t>Titik Ukur</t>
  </si>
  <si>
    <t>Jika baru pertama kali direkal maka drift</t>
  </si>
  <si>
    <t>Ket :</t>
  </si>
  <si>
    <t>Belum ada sertifikatnya</t>
  </si>
  <si>
    <t>Temp. Heater</t>
  </si>
  <si>
    <t>Temp Heater</t>
  </si>
  <si>
    <t>Fauzan Aziz, AMTE</t>
  </si>
  <si>
    <t>Greisinger</t>
  </si>
  <si>
    <t>OL</t>
  </si>
  <si>
    <t>30/1/2023</t>
  </si>
  <si>
    <t>13/2/2023</t>
  </si>
  <si>
    <t>Tahun Sebelumnya 2022</t>
  </si>
  <si>
    <t>Tahun Ini 2023</t>
  </si>
  <si>
    <t>Bk Precision</t>
  </si>
  <si>
    <t>117l15117</t>
  </si>
  <si>
    <t>U95</t>
  </si>
  <si>
    <t>-</t>
  </si>
  <si>
    <t xml:space="preserve">Medan, </t>
  </si>
  <si>
    <t>Tanggal Laporan</t>
  </si>
  <si>
    <t>BK Precision</t>
  </si>
  <si>
    <t>116C13105</t>
  </si>
  <si>
    <t>KEMENTERIAN KESEHATAN RI</t>
  </si>
  <si>
    <t>Balai Pengamanan Fasilitas Kesehatan Medan</t>
  </si>
  <si>
    <t>Lampu dan Reflektor</t>
  </si>
  <si>
    <t>Periksa kondisi lampu apakah terpasang dengan benar, berfungsi atau tidak. Periksa juga kaca reflektor</t>
  </si>
  <si>
    <t>Pengukuran Illuminance</t>
  </si>
  <si>
    <t>Penunjukan standart ( lux )</t>
  </si>
  <si>
    <t>Setting Pada Alat</t>
  </si>
  <si>
    <t>(lux)</t>
  </si>
  <si>
    <t>Lux Meter</t>
  </si>
  <si>
    <t>Kimo</t>
  </si>
  <si>
    <t>n</t>
  </si>
  <si>
    <t>lux</t>
  </si>
  <si>
    <t>LX 200</t>
  </si>
  <si>
    <t>21110987</t>
  </si>
  <si>
    <t>21110988</t>
  </si>
  <si>
    <t>DATA LUX METER</t>
  </si>
  <si>
    <t>0-150.000</t>
  </si>
  <si>
    <t>Parameter Illuminance</t>
  </si>
  <si>
    <t>STDV</t>
  </si>
  <si>
    <t>∑koreksi + U95</t>
  </si>
  <si>
    <t>%(∑koreksi + U95)</t>
  </si>
  <si>
    <t>na</t>
  </si>
  <si>
    <t>s.d</t>
  </si>
  <si>
    <t>klux</t>
  </si>
  <si>
    <t>( Klux )</t>
  </si>
  <si>
    <t>Penunjukan</t>
  </si>
  <si>
    <t>RS. SANTA MARIA PEKANBARU</t>
  </si>
  <si>
    <t>BELMONT</t>
  </si>
  <si>
    <t>CALISTA II</t>
  </si>
  <si>
    <t>48569</t>
  </si>
  <si>
    <t>Ruang Poli Gigi</t>
  </si>
  <si>
    <t>Poli Gigi</t>
  </si>
  <si>
    <t>11 Desember 2022</t>
  </si>
  <si>
    <t>29 Desember 2022</t>
  </si>
  <si>
    <t xml:space="preserve">   Tentang Metode Kerja Pengujian dan Kalibrasi Alat Kesehatan MK 089-19.</t>
  </si>
  <si>
    <t>NB :</t>
  </si>
  <si>
    <t xml:space="preserve">Tanda " - " pada resistansi pembumian protektif menandakan bahwa nilai resistansi tidak diukur   </t>
  </si>
  <si>
    <t>karena Keselamatan listrik pada UUT  ( unit under test ) bukan kelas I</t>
  </si>
  <si>
    <t xml:space="preserve">         </t>
  </si>
  <si>
    <r>
      <t xml:space="preserve">Tanda " OL atau OR " menandakan bahwa nilai resistansi isolasi </t>
    </r>
    <r>
      <rPr>
        <sz val="8"/>
        <color theme="1"/>
        <rFont val="Calibri"/>
        <family val="2"/>
      </rPr>
      <t xml:space="preserve">&gt; 2 MΩ </t>
    </r>
    <r>
      <rPr>
        <sz val="8"/>
        <color theme="1"/>
        <rFont val="Calibri"/>
        <family val="2"/>
        <scheme val="minor"/>
      </rPr>
      <t xml:space="preserve">atau  </t>
    </r>
    <r>
      <rPr>
        <sz val="12"/>
        <color theme="1"/>
        <rFont val="Calibri"/>
        <family val="2"/>
      </rPr>
      <t>∞</t>
    </r>
    <r>
      <rPr>
        <sz val="8"/>
        <color theme="1"/>
        <rFont val="Calibri"/>
        <family val="2"/>
        <scheme val="minor"/>
      </rPr>
      <t xml:space="preserve"> ( takterhingga)</t>
    </r>
  </si>
  <si>
    <t>117C21114</t>
  </si>
  <si>
    <t>V.</t>
  </si>
  <si>
    <t>Hasil Pengukuran Keselamatan Listrik</t>
  </si>
  <si>
    <t>LIGHT SOURCE</t>
  </si>
  <si>
    <t>Tombol, saklar, dan kontrol</t>
  </si>
  <si>
    <t>Sebelum menggunakan periksa posisinya, apakah posisinya sudah benar</t>
  </si>
  <si>
    <t>Tombol fungsi Light Source</t>
  </si>
  <si>
    <t>Pastikan tombol tombol tersebut berfungsi dengan sempurna</t>
  </si>
  <si>
    <t>Tampilan dan Indikator</t>
  </si>
  <si>
    <t>Pastikan lampu indikator dan tampilan berfungsi seluruhnya, yakinkan bahwa bagian tampilan digital berfungsi</t>
  </si>
  <si>
    <t>yang Diijinkan</t>
  </si>
  <si>
    <t>LEMBAR KERJA PENGUJIAN</t>
  </si>
  <si>
    <t>Meteran</t>
  </si>
  <si>
    <t>≥ 0,7 KLux</t>
  </si>
  <si>
    <t>KLux</t>
  </si>
  <si>
    <t>Standar (KLux)</t>
  </si>
  <si>
    <t>LAPORAN PENGUJIAN LIGHT SOURCE</t>
  </si>
  <si>
    <t>Tanggal Pengujian</t>
  </si>
  <si>
    <t>Tempat Pengujian</t>
  </si>
  <si>
    <t>Petugas Pengujian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</si>
</sst>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[$-421]dd\ mmmm\ yyyy;@"/>
    <numFmt numFmtId="166" formatCode="0.000"/>
    <numFmt numFmtId="167" formatCode="0.0000"/>
    <numFmt numFmtId="168" formatCode="0.00000"/>
    <numFmt numFmtId="169" formatCode="0.000000"/>
    <numFmt numFmtId="170" formatCode="dd/mm/yyyy;@"/>
  </numFmts>
  <fonts count="4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9.9"/>
      <color theme="10"/>
      <name val="Calibri"/>
      <family val="2"/>
      <charset val="1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charset val="1"/>
    </font>
    <font>
      <sz val="11"/>
      <color theme="1"/>
      <name val="Calibri"/>
      <family val="2"/>
      <charset val="1"/>
    </font>
    <font>
      <b/>
      <sz val="11"/>
      <color theme="1"/>
      <name val="Calibri Light"/>
      <family val="2"/>
    </font>
    <font>
      <sz val="11"/>
      <color theme="1"/>
      <name val="Calibri Light"/>
      <family val="2"/>
    </font>
    <font>
      <sz val="11"/>
      <name val="Calibri Light"/>
      <family val="2"/>
    </font>
    <font>
      <b/>
      <sz val="14"/>
      <color theme="1"/>
      <name val="Calibri Light"/>
      <family val="2"/>
    </font>
    <font>
      <b/>
      <sz val="18"/>
      <color theme="1"/>
      <name val="Calibri"/>
      <family val="2"/>
      <scheme val="minor"/>
    </font>
    <font>
      <u/>
      <sz val="9.9"/>
      <color theme="10"/>
      <name val="Calibri Light"/>
      <family val="2"/>
    </font>
    <font>
      <i/>
      <sz val="9"/>
      <color theme="1"/>
      <name val="Calibri Light"/>
      <family val="2"/>
    </font>
    <font>
      <sz val="10"/>
      <color theme="1"/>
      <name val="Calibri Light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Times New Roman"/>
      <family val="1"/>
    </font>
    <font>
      <sz val="10"/>
      <name val="Times New Roman"/>
      <family val="1"/>
    </font>
    <font>
      <b/>
      <sz val="11"/>
      <name val="Calibri Light"/>
      <family val="2"/>
    </font>
    <font>
      <b/>
      <sz val="10"/>
      <color theme="1"/>
      <name val="Calibri"/>
      <family val="2"/>
    </font>
    <font>
      <sz val="10"/>
      <name val="Wingdings"/>
      <charset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charset val="1"/>
      <scheme val="minor"/>
    </font>
    <font>
      <sz val="10"/>
      <name val="Calibri"/>
      <family val="2"/>
      <charset val="1"/>
      <scheme val="minor"/>
    </font>
    <font>
      <u/>
      <sz val="10"/>
      <name val="Calibri"/>
      <family val="2"/>
      <charset val="1"/>
      <scheme val="minor"/>
    </font>
    <font>
      <sz val="10"/>
      <color theme="1"/>
      <name val="Calibri Light"/>
      <family val="2"/>
      <charset val="1"/>
    </font>
    <font>
      <b/>
      <u/>
      <sz val="12"/>
      <color theme="1"/>
      <name val="Calibri"/>
      <family val="2"/>
      <scheme val="minor"/>
    </font>
    <font>
      <b/>
      <sz val="11"/>
      <name val="Calibri Light"/>
      <family val="2"/>
      <charset val="1"/>
    </font>
    <font>
      <b/>
      <sz val="11"/>
      <name val="Calibri"/>
      <family val="2"/>
      <charset val="1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name val="Calibri"/>
      <family val="2"/>
      <charset val="1"/>
    </font>
    <font>
      <sz val="11"/>
      <name val="Calibri"/>
      <family val="2"/>
    </font>
    <font>
      <sz val="10"/>
      <color theme="1"/>
      <name val="Calibri"/>
      <family val="2"/>
    </font>
    <font>
      <sz val="8"/>
      <color theme="1"/>
      <name val="Calibri"/>
      <family val="2"/>
      <scheme val="minor"/>
    </font>
    <font>
      <sz val="8"/>
      <color theme="1"/>
      <name val="Century Gothic"/>
      <family val="2"/>
    </font>
    <font>
      <sz val="8"/>
      <color theme="1"/>
      <name val="Calibri"/>
      <family val="2"/>
    </font>
    <font>
      <sz val="12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rgb="FFFFFF00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622">
    <xf numFmtId="0" fontId="0" fillId="0" borderId="0" xfId="0"/>
    <xf numFmtId="0" fontId="3" fillId="0" borderId="0" xfId="0" applyFont="1"/>
    <xf numFmtId="0" fontId="0" fillId="0" borderId="2" xfId="0" applyBorder="1"/>
    <xf numFmtId="0" fontId="0" fillId="0" borderId="3" xfId="0" applyBorder="1"/>
    <xf numFmtId="2" fontId="0" fillId="0" borderId="2" xfId="0" applyNumberFormat="1" applyBorder="1"/>
    <xf numFmtId="2" fontId="0" fillId="0" borderId="1" xfId="0" applyNumberFormat="1" applyBorder="1"/>
    <xf numFmtId="0" fontId="3" fillId="2" borderId="2" xfId="0" applyFont="1" applyFill="1" applyBorder="1" applyAlignment="1">
      <alignment horizontal="center"/>
    </xf>
    <xf numFmtId="0" fontId="0" fillId="0" borderId="6" xfId="0" applyBorder="1"/>
    <xf numFmtId="0" fontId="5" fillId="0" borderId="0" xfId="0" applyFont="1" applyAlignment="1">
      <alignment horizontal="left" vertical="center"/>
    </xf>
    <xf numFmtId="0" fontId="9" fillId="0" borderId="0" xfId="2" applyFont="1" applyAlignment="1" applyProtection="1"/>
    <xf numFmtId="164" fontId="0" fillId="0" borderId="0" xfId="0" applyNumberForma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4" xfId="0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12" fillId="0" borderId="0" xfId="0" applyFont="1"/>
    <xf numFmtId="0" fontId="12" fillId="0" borderId="1" xfId="0" applyFont="1" applyBorder="1"/>
    <xf numFmtId="0" fontId="3" fillId="2" borderId="1" xfId="0" applyFont="1" applyFill="1" applyBorder="1" applyAlignment="1">
      <alignment horizontal="center"/>
    </xf>
    <xf numFmtId="11" fontId="0" fillId="0" borderId="1" xfId="0" applyNumberFormat="1" applyBorder="1"/>
    <xf numFmtId="0" fontId="1" fillId="0" borderId="2" xfId="0" applyFont="1" applyBorder="1"/>
    <xf numFmtId="0" fontId="3" fillId="2" borderId="5" xfId="0" applyFont="1" applyFill="1" applyBorder="1" applyAlignment="1">
      <alignment horizontal="center"/>
    </xf>
    <xf numFmtId="2" fontId="0" fillId="3" borderId="2" xfId="0" applyNumberFormat="1" applyFill="1" applyBorder="1"/>
    <xf numFmtId="0" fontId="0" fillId="3" borderId="2" xfId="0" applyFill="1" applyBorder="1"/>
    <xf numFmtId="0" fontId="13" fillId="0" borderId="0" xfId="0" applyFont="1"/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3" fillId="5" borderId="1" xfId="0" applyFont="1" applyFill="1" applyBorder="1"/>
    <xf numFmtId="0" fontId="8" fillId="0" borderId="1" xfId="0" applyFont="1" applyBorder="1" applyAlignment="1">
      <alignment horizontal="center"/>
    </xf>
    <xf numFmtId="0" fontId="0" fillId="0" borderId="1" xfId="0" applyBorder="1"/>
    <xf numFmtId="164" fontId="0" fillId="4" borderId="1" xfId="0" applyNumberFormat="1" applyFill="1" applyBorder="1"/>
    <xf numFmtId="164" fontId="0" fillId="4" borderId="2" xfId="0" applyNumberFormat="1" applyFill="1" applyBorder="1"/>
    <xf numFmtId="164" fontId="0" fillId="4" borderId="2" xfId="0" applyNumberForma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6" fillId="0" borderId="0" xfId="2" applyAlignment="1" applyProtection="1">
      <alignment horizontal="left"/>
    </xf>
    <xf numFmtId="0" fontId="16" fillId="0" borderId="0" xfId="2" applyFont="1" applyAlignment="1" applyProtection="1"/>
    <xf numFmtId="0" fontId="16" fillId="0" borderId="0" xfId="2" applyFont="1" applyAlignment="1" applyProtection="1">
      <alignment horizontal="left"/>
    </xf>
    <xf numFmtId="0" fontId="12" fillId="3" borderId="1" xfId="0" applyFont="1" applyFill="1" applyBorder="1" applyAlignment="1">
      <alignment horizontal="center"/>
    </xf>
    <xf numFmtId="0" fontId="12" fillId="3" borderId="1" xfId="0" applyFont="1" applyFill="1" applyBorder="1"/>
    <xf numFmtId="0" fontId="12" fillId="0" borderId="0" xfId="0" applyFont="1" applyAlignment="1">
      <alignment horizontal="center"/>
    </xf>
    <xf numFmtId="0" fontId="11" fillId="5" borderId="1" xfId="0" applyFont="1" applyFill="1" applyBorder="1" applyAlignment="1">
      <alignment horizontal="center"/>
    </xf>
    <xf numFmtId="164" fontId="12" fillId="4" borderId="2" xfId="0" applyNumberFormat="1" applyFont="1" applyFill="1" applyBorder="1" applyAlignment="1">
      <alignment horizontal="center"/>
    </xf>
    <xf numFmtId="0" fontId="12" fillId="0" borderId="4" xfId="0" applyFont="1" applyBorder="1"/>
    <xf numFmtId="2" fontId="12" fillId="4" borderId="2" xfId="0" applyNumberFormat="1" applyFont="1" applyFill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0" fontId="17" fillId="0" borderId="0" xfId="0" applyFont="1" applyAlignment="1">
      <alignment horizontal="right"/>
    </xf>
    <xf numFmtId="0" fontId="17" fillId="0" borderId="0" xfId="0" quotePrefix="1" applyFont="1"/>
    <xf numFmtId="0" fontId="12" fillId="0" borderId="1" xfId="0" applyFont="1" applyBorder="1" applyAlignment="1">
      <alignment horizontal="center"/>
    </xf>
    <xf numFmtId="0" fontId="11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left"/>
    </xf>
    <xf numFmtId="0" fontId="8" fillId="0" borderId="4" xfId="0" applyFont="1" applyBorder="1"/>
    <xf numFmtId="2" fontId="12" fillId="0" borderId="0" xfId="0" applyNumberFormat="1" applyFont="1" applyAlignment="1">
      <alignment horizontal="center"/>
    </xf>
    <xf numFmtId="2" fontId="12" fillId="4" borderId="1" xfId="0" applyNumberFormat="1" applyFont="1" applyFill="1" applyBorder="1" applyAlignment="1">
      <alignment horizontal="center"/>
    </xf>
    <xf numFmtId="2" fontId="0" fillId="0" borderId="0" xfId="0" applyNumberFormat="1"/>
    <xf numFmtId="11" fontId="0" fillId="0" borderId="0" xfId="0" applyNumberFormat="1"/>
    <xf numFmtId="2" fontId="0" fillId="3" borderId="2" xfId="0" applyNumberFormat="1" applyFill="1" applyBorder="1" applyAlignment="1">
      <alignment horizontal="right"/>
    </xf>
    <xf numFmtId="0" fontId="3" fillId="0" borderId="0" xfId="0" applyFont="1" applyAlignment="1">
      <alignment horizontal="left"/>
    </xf>
    <xf numFmtId="0" fontId="20" fillId="0" borderId="0" xfId="0" applyFont="1"/>
    <xf numFmtId="0" fontId="26" fillId="0" borderId="0" xfId="0" applyFont="1"/>
    <xf numFmtId="0" fontId="19" fillId="0" borderId="0" xfId="0" applyFont="1"/>
    <xf numFmtId="0" fontId="19" fillId="0" borderId="1" xfId="0" applyFont="1" applyBorder="1" applyAlignment="1">
      <alignment horizontal="center"/>
    </xf>
    <xf numFmtId="0" fontId="27" fillId="0" borderId="0" xfId="0" applyFont="1" applyAlignment="1">
      <alignment horizontal="justify" vertical="center" wrapText="1"/>
    </xf>
    <xf numFmtId="0" fontId="27" fillId="0" borderId="0" xfId="0" applyFont="1"/>
    <xf numFmtId="0" fontId="26" fillId="0" borderId="0" xfId="0" applyFont="1" applyAlignment="1">
      <alignment vertical="top"/>
    </xf>
    <xf numFmtId="0" fontId="28" fillId="0" borderId="0" xfId="0" applyFont="1"/>
    <xf numFmtId="0" fontId="27" fillId="0" borderId="0" xfId="0" applyFont="1" applyAlignment="1">
      <alignment horizontal="center"/>
    </xf>
    <xf numFmtId="0" fontId="29" fillId="0" borderId="0" xfId="0" applyFont="1"/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6" fillId="0" borderId="1" xfId="0" applyFont="1" applyBorder="1"/>
    <xf numFmtId="0" fontId="27" fillId="0" borderId="1" xfId="0" applyFont="1" applyBorder="1" applyAlignment="1">
      <alignment horizontal="center"/>
    </xf>
    <xf numFmtId="0" fontId="27" fillId="0" borderId="0" xfId="0" applyFont="1" applyAlignment="1">
      <alignment horizontal="left"/>
    </xf>
    <xf numFmtId="0" fontId="27" fillId="0" borderId="5" xfId="0" applyFont="1" applyBorder="1" applyAlignment="1">
      <alignment horizontal="center"/>
    </xf>
    <xf numFmtId="0" fontId="27" fillId="0" borderId="5" xfId="0" applyFont="1" applyBorder="1"/>
    <xf numFmtId="0" fontId="27" fillId="0" borderId="6" xfId="0" applyFont="1" applyBorder="1"/>
    <xf numFmtId="0" fontId="27" fillId="0" borderId="7" xfId="0" applyFont="1" applyBorder="1"/>
    <xf numFmtId="0" fontId="27" fillId="0" borderId="2" xfId="0" applyFont="1" applyBorder="1" applyAlignment="1">
      <alignment horizontal="center"/>
    </xf>
    <xf numFmtId="0" fontId="27" fillId="0" borderId="2" xfId="0" applyFont="1" applyBorder="1"/>
    <xf numFmtId="0" fontId="27" fillId="0" borderId="3" xfId="0" applyFont="1" applyBorder="1"/>
    <xf numFmtId="0" fontId="27" fillId="0" borderId="4" xfId="0" applyFont="1" applyBorder="1"/>
    <xf numFmtId="0" fontId="27" fillId="0" borderId="0" xfId="0" applyFont="1" applyAlignment="1">
      <alignment vertical="top"/>
    </xf>
    <xf numFmtId="0" fontId="27" fillId="0" borderId="0" xfId="0" applyFont="1" applyAlignment="1">
      <alignment horizontal="center" vertical="top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0" xfId="0" applyFont="1" applyAlignment="1">
      <alignment horizontal="left" vertical="center" wrapText="1"/>
    </xf>
    <xf numFmtId="0" fontId="27" fillId="0" borderId="0" xfId="0" applyFont="1" applyAlignment="1">
      <alignment horizontal="right" vertical="top" wrapText="1"/>
    </xf>
    <xf numFmtId="0" fontId="27" fillId="0" borderId="0" xfId="0" applyFont="1" applyAlignment="1">
      <alignment horizontal="left" vertical="top"/>
    </xf>
    <xf numFmtId="0" fontId="27" fillId="0" borderId="0" xfId="0" applyFont="1" applyAlignment="1">
      <alignment horizontal="right" wrapText="1"/>
    </xf>
    <xf numFmtId="0" fontId="26" fillId="0" borderId="0" xfId="0" applyFont="1" applyAlignment="1">
      <alignment vertical="center"/>
    </xf>
    <xf numFmtId="0" fontId="27" fillId="0" borderId="2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7" fillId="0" borderId="0" xfId="0" applyFont="1" applyAlignment="1">
      <alignment vertical="distributed" wrapText="1"/>
    </xf>
    <xf numFmtId="0" fontId="27" fillId="0" borderId="0" xfId="0" applyFont="1" applyAlignment="1">
      <alignment wrapText="1"/>
    </xf>
    <xf numFmtId="0" fontId="27" fillId="0" borderId="11" xfId="0" applyFont="1" applyBorder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0" xfId="0" applyFont="1" applyAlignment="1">
      <alignment horizontal="left" vertical="distributed" wrapText="1"/>
    </xf>
    <xf numFmtId="0" fontId="26" fillId="0" borderId="0" xfId="0" applyFont="1" applyAlignment="1">
      <alignment vertical="center" wrapText="1"/>
    </xf>
    <xf numFmtId="0" fontId="27" fillId="0" borderId="0" xfId="0" applyFont="1" applyAlignment="1">
      <alignment vertical="distributed"/>
    </xf>
    <xf numFmtId="0" fontId="27" fillId="0" borderId="0" xfId="0" applyFont="1" applyAlignment="1">
      <alignment horizontal="center" wrapText="1"/>
    </xf>
    <xf numFmtId="0" fontId="26" fillId="0" borderId="0" xfId="0" applyFont="1" applyAlignment="1">
      <alignment horizontal="left"/>
    </xf>
    <xf numFmtId="0" fontId="27" fillId="4" borderId="0" xfId="0" applyFont="1" applyFill="1"/>
    <xf numFmtId="0" fontId="27" fillId="0" borderId="5" xfId="0" applyFont="1" applyBorder="1" applyAlignment="1">
      <alignment horizontal="right" vertical="center" wrapText="1"/>
    </xf>
    <xf numFmtId="0" fontId="29" fillId="4" borderId="0" xfId="0" applyFont="1" applyFill="1"/>
    <xf numFmtId="0" fontId="20" fillId="0" borderId="0" xfId="0" applyFont="1" applyAlignment="1">
      <alignment vertical="top"/>
    </xf>
    <xf numFmtId="0" fontId="29" fillId="0" borderId="10" xfId="0" applyFont="1" applyBorder="1" applyAlignment="1">
      <alignment vertical="center"/>
    </xf>
    <xf numFmtId="0" fontId="29" fillId="0" borderId="11" xfId="0" applyFont="1" applyBorder="1" applyAlignment="1">
      <alignment vertical="center"/>
    </xf>
    <xf numFmtId="0" fontId="29" fillId="0" borderId="12" xfId="0" applyFont="1" applyBorder="1" applyAlignment="1">
      <alignment vertic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vertical="center" wrapText="1"/>
    </xf>
    <xf numFmtId="0" fontId="29" fillId="0" borderId="1" xfId="0" applyFont="1" applyBorder="1" applyAlignment="1">
      <alignment horizontal="center" vertical="center"/>
    </xf>
    <xf numFmtId="0" fontId="29" fillId="4" borderId="0" xfId="0" quotePrefix="1" applyFont="1" applyFill="1"/>
    <xf numFmtId="0" fontId="29" fillId="0" borderId="11" xfId="0" applyFont="1" applyBorder="1"/>
    <xf numFmtId="0" fontId="29" fillId="0" borderId="11" xfId="0" applyFont="1" applyBorder="1" applyAlignment="1">
      <alignment vertical="center" wrapText="1"/>
    </xf>
    <xf numFmtId="164" fontId="29" fillId="0" borderId="11" xfId="0" applyNumberFormat="1" applyFont="1" applyBorder="1" applyAlignment="1">
      <alignment vertical="center" wrapText="1"/>
    </xf>
    <xf numFmtId="0" fontId="27" fillId="0" borderId="13" xfId="0" applyFont="1" applyBorder="1" applyAlignment="1">
      <alignment vertical="center" wrapText="1"/>
    </xf>
    <xf numFmtId="164" fontId="27" fillId="0" borderId="13" xfId="0" applyNumberFormat="1" applyFont="1" applyBorder="1" applyAlignment="1">
      <alignment vertical="center" wrapText="1"/>
    </xf>
    <xf numFmtId="164" fontId="27" fillId="0" borderId="0" xfId="0" applyNumberFormat="1" applyFont="1" applyAlignment="1">
      <alignment vertical="center" wrapText="1"/>
    </xf>
    <xf numFmtId="0" fontId="32" fillId="0" borderId="13" xfId="0" applyFont="1" applyBorder="1" applyAlignment="1">
      <alignment horizontal="right" vertical="center" wrapText="1"/>
    </xf>
    <xf numFmtId="0" fontId="27" fillId="0" borderId="14" xfId="0" applyFont="1" applyBorder="1" applyAlignment="1">
      <alignment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7" xfId="0" applyFont="1" applyBorder="1" applyAlignment="1">
      <alignment vertical="center" wrapText="1"/>
    </xf>
    <xf numFmtId="0" fontId="28" fillId="0" borderId="1" xfId="0" applyFont="1" applyBorder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 wrapText="1"/>
    </xf>
    <xf numFmtId="0" fontId="28" fillId="0" borderId="0" xfId="0" quotePrefix="1" applyFont="1" applyAlignment="1">
      <alignment horizontal="left"/>
    </xf>
    <xf numFmtId="0" fontId="28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4" fillId="0" borderId="0" xfId="0" applyFont="1"/>
    <xf numFmtId="0" fontId="33" fillId="0" borderId="0" xfId="0" applyFont="1" applyAlignment="1">
      <alignment horizontal="left"/>
    </xf>
    <xf numFmtId="0" fontId="33" fillId="0" borderId="0" xfId="0" quotePrefix="1" applyFont="1" applyAlignment="1">
      <alignment horizontal="center"/>
    </xf>
    <xf numFmtId="0" fontId="33" fillId="0" borderId="0" xfId="0" quotePrefix="1" applyFont="1" applyAlignment="1">
      <alignment horizontal="left"/>
    </xf>
    <xf numFmtId="0" fontId="34" fillId="0" borderId="0" xfId="0" applyFont="1" applyAlignment="1">
      <alignment vertical="top"/>
    </xf>
    <xf numFmtId="0" fontId="34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0" fontId="34" fillId="0" borderId="0" xfId="0" quotePrefix="1" applyFont="1" applyAlignment="1">
      <alignment vertical="center"/>
    </xf>
    <xf numFmtId="0" fontId="33" fillId="0" borderId="0" xfId="0" applyFont="1" applyAlignment="1">
      <alignment vertical="center"/>
    </xf>
    <xf numFmtId="0" fontId="34" fillId="0" borderId="8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0" borderId="0" xfId="0" applyFont="1" applyAlignment="1">
      <alignment vertical="center"/>
    </xf>
    <xf numFmtId="0" fontId="34" fillId="0" borderId="15" xfId="0" applyFont="1" applyBorder="1" applyAlignment="1">
      <alignment horizontal="center"/>
    </xf>
    <xf numFmtId="0" fontId="34" fillId="0" borderId="13" xfId="0" applyFont="1" applyBorder="1"/>
    <xf numFmtId="0" fontId="34" fillId="0" borderId="14" xfId="0" applyFont="1" applyBorder="1"/>
    <xf numFmtId="0" fontId="34" fillId="0" borderId="5" xfId="0" applyFont="1" applyBorder="1"/>
    <xf numFmtId="0" fontId="34" fillId="0" borderId="6" xfId="0" applyFont="1" applyBorder="1"/>
    <xf numFmtId="0" fontId="34" fillId="0" borderId="7" xfId="0" applyFont="1" applyBorder="1"/>
    <xf numFmtId="0" fontId="34" fillId="0" borderId="0" xfId="0" applyFont="1" applyAlignment="1">
      <alignment vertical="center" wrapText="1"/>
    </xf>
    <xf numFmtId="0" fontId="33" fillId="0" borderId="6" xfId="0" applyFont="1" applyBorder="1"/>
    <xf numFmtId="2" fontId="33" fillId="0" borderId="0" xfId="0" applyNumberFormat="1" applyFont="1" applyAlignment="1">
      <alignment horizontal="left" vertical="center" wrapText="1"/>
    </xf>
    <xf numFmtId="2" fontId="34" fillId="0" borderId="0" xfId="0" applyNumberFormat="1" applyFont="1" applyAlignment="1">
      <alignment vertical="top"/>
    </xf>
    <xf numFmtId="0" fontId="34" fillId="0" borderId="0" xfId="0" quotePrefix="1" applyFont="1" applyAlignment="1">
      <alignment horizontal="left"/>
    </xf>
    <xf numFmtId="0" fontId="34" fillId="0" borderId="0" xfId="0" applyFont="1" applyAlignment="1">
      <alignment horizontal="left" vertical="top"/>
    </xf>
    <xf numFmtId="0" fontId="34" fillId="0" borderId="0" xfId="0" applyFont="1" applyAlignment="1">
      <alignment vertical="distributed" wrapText="1"/>
    </xf>
    <xf numFmtId="0" fontId="34" fillId="0" borderId="0" xfId="0" applyFont="1" applyAlignment="1">
      <alignment horizontal="left" wrapText="1"/>
    </xf>
    <xf numFmtId="0" fontId="35" fillId="0" borderId="0" xfId="0" applyFont="1"/>
    <xf numFmtId="0" fontId="36" fillId="0" borderId="0" xfId="0" applyFont="1"/>
    <xf numFmtId="0" fontId="36" fillId="0" borderId="0" xfId="0" applyFont="1" applyAlignment="1">
      <alignment horizontal="left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33" fillId="0" borderId="0" xfId="0" applyNumberFormat="1" applyFont="1" applyAlignment="1">
      <alignment horizontal="left" vertical="center"/>
    </xf>
    <xf numFmtId="164" fontId="33" fillId="0" borderId="0" xfId="0" applyNumberFormat="1" applyFont="1" applyAlignment="1">
      <alignment horizontal="right" vertical="center"/>
    </xf>
    <xf numFmtId="0" fontId="27" fillId="0" borderId="3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right" vertical="center" wrapText="1"/>
    </xf>
    <xf numFmtId="0" fontId="27" fillId="0" borderId="4" xfId="0" applyFont="1" applyBorder="1" applyAlignment="1">
      <alignment vertical="center" wrapText="1"/>
    </xf>
    <xf numFmtId="0" fontId="33" fillId="0" borderId="6" xfId="0" applyFont="1" applyBorder="1" applyAlignment="1">
      <alignment horizontal="center"/>
    </xf>
    <xf numFmtId="164" fontId="12" fillId="4" borderId="1" xfId="0" applyNumberFormat="1" applyFont="1" applyFill="1" applyBorder="1" applyAlignment="1">
      <alignment horizontal="center"/>
    </xf>
    <xf numFmtId="166" fontId="0" fillId="0" borderId="2" xfId="0" applyNumberFormat="1" applyBorder="1"/>
    <xf numFmtId="0" fontId="9" fillId="0" borderId="0" xfId="2" applyNumberFormat="1" applyFont="1" applyAlignment="1" applyProtection="1">
      <alignment horizontal="left"/>
    </xf>
    <xf numFmtId="0" fontId="26" fillId="4" borderId="0" xfId="0" applyFont="1" applyFill="1"/>
    <xf numFmtId="0" fontId="28" fillId="0" borderId="1" xfId="0" applyFont="1" applyBorder="1"/>
    <xf numFmtId="0" fontId="38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 vertical="center"/>
    </xf>
    <xf numFmtId="164" fontId="33" fillId="0" borderId="0" xfId="0" applyNumberFormat="1" applyFont="1"/>
    <xf numFmtId="170" fontId="2" fillId="0" borderId="0" xfId="0" applyNumberFormat="1" applyFont="1" applyAlignment="1">
      <alignment horizontal="left"/>
    </xf>
    <xf numFmtId="2" fontId="12" fillId="0" borderId="1" xfId="0" applyNumberFormat="1" applyFont="1" applyBorder="1" applyAlignment="1">
      <alignment horizontal="center"/>
    </xf>
    <xf numFmtId="0" fontId="40" fillId="0" borderId="0" xfId="0" applyFont="1" applyAlignment="1">
      <alignment vertical="center"/>
    </xf>
    <xf numFmtId="170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170" fontId="0" fillId="0" borderId="0" xfId="0" applyNumberFormat="1" applyAlignment="1">
      <alignment horizontal="center"/>
    </xf>
    <xf numFmtId="0" fontId="0" fillId="3" borderId="1" xfId="0" applyFill="1" applyBorder="1"/>
    <xf numFmtId="0" fontId="0" fillId="9" borderId="1" xfId="0" applyFill="1" applyBorder="1" applyAlignment="1">
      <alignment horizontal="center" vertical="center"/>
    </xf>
    <xf numFmtId="0" fontId="0" fillId="9" borderId="1" xfId="0" applyFill="1" applyBorder="1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2" fontId="0" fillId="0" borderId="1" xfId="0" applyNumberFormat="1" applyBorder="1" applyAlignment="1">
      <alignment vertical="center"/>
    </xf>
    <xf numFmtId="0" fontId="0" fillId="9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14" fontId="12" fillId="0" borderId="0" xfId="0" applyNumberFormat="1" applyFont="1"/>
    <xf numFmtId="166" fontId="0" fillId="3" borderId="2" xfId="0" applyNumberFormat="1" applyFill="1" applyBorder="1"/>
    <xf numFmtId="0" fontId="12" fillId="3" borderId="0" xfId="0" applyFont="1" applyFill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4" borderId="0" xfId="0" applyFill="1"/>
    <xf numFmtId="167" fontId="12" fillId="0" borderId="1" xfId="0" applyNumberFormat="1" applyFont="1" applyBorder="1"/>
    <xf numFmtId="167" fontId="12" fillId="0" borderId="0" xfId="0" applyNumberFormat="1" applyFont="1"/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 vertical="center"/>
    </xf>
    <xf numFmtId="2" fontId="0" fillId="11" borderId="1" xfId="0" applyNumberFormat="1" applyFill="1" applyBorder="1"/>
    <xf numFmtId="0" fontId="0" fillId="11" borderId="1" xfId="0" applyFill="1" applyBorder="1"/>
    <xf numFmtId="0" fontId="3" fillId="9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/>
    </xf>
    <xf numFmtId="0" fontId="3" fillId="11" borderId="0" xfId="0" applyFont="1" applyFill="1"/>
    <xf numFmtId="0" fontId="3" fillId="0" borderId="0" xfId="0" applyFont="1" applyAlignment="1">
      <alignment horizontal="left" vertical="center"/>
    </xf>
    <xf numFmtId="170" fontId="3" fillId="0" borderId="0" xfId="0" applyNumberFormat="1" applyFont="1" applyAlignment="1">
      <alignment horizontal="left"/>
    </xf>
    <xf numFmtId="0" fontId="3" fillId="3" borderId="0" xfId="0" applyFont="1" applyFill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0" fillId="3" borderId="2" xfId="0" applyNumberFormat="1" applyFill="1" applyBorder="1"/>
    <xf numFmtId="0" fontId="17" fillId="3" borderId="0" xfId="0" applyFont="1" applyFill="1" applyAlignment="1">
      <alignment horizontal="right"/>
    </xf>
    <xf numFmtId="0" fontId="17" fillId="3" borderId="0" xfId="0" quotePrefix="1" applyFont="1" applyFill="1"/>
    <xf numFmtId="170" fontId="3" fillId="0" borderId="0" xfId="0" applyNumberFormat="1" applyFont="1"/>
    <xf numFmtId="0" fontId="29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42" fillId="0" borderId="0" xfId="2" applyNumberFormat="1" applyFont="1" applyAlignment="1" applyProtection="1">
      <alignment horizontal="left"/>
    </xf>
    <xf numFmtId="0" fontId="42" fillId="0" borderId="0" xfId="2" applyFont="1" applyAlignment="1" applyProtection="1">
      <alignment horizontal="left"/>
    </xf>
    <xf numFmtId="170" fontId="33" fillId="0" borderId="0" xfId="0" applyNumberFormat="1" applyFont="1" applyAlignment="1">
      <alignment horizontal="left"/>
    </xf>
    <xf numFmtId="0" fontId="33" fillId="0" borderId="0" xfId="0" quotePrefix="1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26" fillId="0" borderId="1" xfId="0" applyFont="1" applyBorder="1" applyAlignment="1">
      <alignment horizontal="center" vertical="center" wrapText="1"/>
    </xf>
    <xf numFmtId="0" fontId="29" fillId="4" borderId="0" xfId="0" applyFont="1" applyFill="1" applyAlignment="1">
      <alignment horizontal="left"/>
    </xf>
    <xf numFmtId="0" fontId="28" fillId="0" borderId="4" xfId="0" applyFont="1" applyBorder="1" applyAlignment="1">
      <alignment horizontal="center" vertical="center" wrapText="1"/>
    </xf>
    <xf numFmtId="2" fontId="28" fillId="0" borderId="3" xfId="0" applyNumberFormat="1" applyFont="1" applyBorder="1" applyAlignment="1">
      <alignment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26" fillId="7" borderId="0" xfId="0" applyFont="1" applyFill="1" applyAlignment="1">
      <alignment horizontal="left" vertical="center"/>
    </xf>
    <xf numFmtId="0" fontId="26" fillId="7" borderId="0" xfId="0" applyFont="1" applyFill="1" applyAlignment="1">
      <alignment vertical="center"/>
    </xf>
    <xf numFmtId="0" fontId="27" fillId="7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right" vertical="top" wrapText="1"/>
    </xf>
    <xf numFmtId="0" fontId="27" fillId="7" borderId="0" xfId="0" applyFont="1" applyFill="1" applyAlignment="1">
      <alignment horizontal="left"/>
    </xf>
    <xf numFmtId="0" fontId="26" fillId="7" borderId="0" xfId="0" applyFont="1" applyFill="1" applyAlignment="1">
      <alignment vertical="center" wrapText="1"/>
    </xf>
    <xf numFmtId="0" fontId="27" fillId="7" borderId="0" xfId="0" applyFont="1" applyFill="1" applyAlignment="1">
      <alignment vertical="center" wrapText="1"/>
    </xf>
    <xf numFmtId="0" fontId="26" fillId="7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 wrapText="1"/>
    </xf>
    <xf numFmtId="0" fontId="27" fillId="7" borderId="0" xfId="0" applyFont="1" applyFill="1" applyAlignment="1">
      <alignment horizontal="center"/>
    </xf>
    <xf numFmtId="0" fontId="27" fillId="7" borderId="0" xfId="0" applyFont="1" applyFill="1"/>
    <xf numFmtId="0" fontId="26" fillId="7" borderId="0" xfId="0" applyFont="1" applyFill="1"/>
    <xf numFmtId="0" fontId="27" fillId="7" borderId="0" xfId="0" applyFont="1" applyFill="1" applyAlignment="1">
      <alignment horizontal="right"/>
    </xf>
    <xf numFmtId="0" fontId="8" fillId="0" borderId="0" xfId="0" applyFont="1" applyAlignment="1">
      <alignment horizontal="center"/>
    </xf>
    <xf numFmtId="168" fontId="0" fillId="0" borderId="0" xfId="0" applyNumberFormat="1"/>
    <xf numFmtId="0" fontId="1" fillId="0" borderId="0" xfId="0" applyFont="1"/>
    <xf numFmtId="2" fontId="0" fillId="0" borderId="0" xfId="0" applyNumberFormat="1" applyAlignment="1">
      <alignment horizontal="right"/>
    </xf>
    <xf numFmtId="169" fontId="0" fillId="0" borderId="0" xfId="0" applyNumberFormat="1"/>
    <xf numFmtId="0" fontId="23" fillId="0" borderId="0" xfId="0" applyFont="1" applyAlignment="1">
      <alignment vertical="center"/>
    </xf>
    <xf numFmtId="166" fontId="0" fillId="0" borderId="0" xfId="0" applyNumberFormat="1"/>
    <xf numFmtId="0" fontId="8" fillId="0" borderId="1" xfId="0" applyFont="1" applyBorder="1"/>
    <xf numFmtId="2" fontId="12" fillId="0" borderId="9" xfId="0" applyNumberFormat="1" applyFont="1" applyBorder="1" applyAlignment="1">
      <alignment vertical="center"/>
    </xf>
    <xf numFmtId="2" fontId="12" fillId="0" borderId="15" xfId="0" applyNumberFormat="1" applyFont="1" applyBorder="1" applyAlignment="1">
      <alignment vertical="center"/>
    </xf>
    <xf numFmtId="2" fontId="12" fillId="0" borderId="8" xfId="0" applyNumberFormat="1" applyFont="1" applyBorder="1" applyAlignment="1">
      <alignment vertical="center"/>
    </xf>
    <xf numFmtId="0" fontId="11" fillId="0" borderId="0" xfId="0" quotePrefix="1" applyFont="1"/>
    <xf numFmtId="2" fontId="12" fillId="0" borderId="0" xfId="0" applyNumberFormat="1" applyFont="1"/>
    <xf numFmtId="0" fontId="8" fillId="0" borderId="0" xfId="0" applyFont="1"/>
    <xf numFmtId="16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 vertical="center"/>
    </xf>
    <xf numFmtId="1" fontId="12" fillId="0" borderId="0" xfId="0" applyNumberFormat="1" applyFont="1"/>
    <xf numFmtId="2" fontId="12" fillId="0" borderId="0" xfId="0" applyNumberFormat="1" applyFont="1" applyAlignment="1">
      <alignment horizontal="center" vertical="center"/>
    </xf>
    <xf numFmtId="169" fontId="12" fillId="0" borderId="0" xfId="0" applyNumberFormat="1" applyFont="1"/>
    <xf numFmtId="0" fontId="12" fillId="0" borderId="9" xfId="0" applyFont="1" applyBorder="1"/>
    <xf numFmtId="167" fontId="12" fillId="0" borderId="2" xfId="0" applyNumberFormat="1" applyFont="1" applyBorder="1"/>
    <xf numFmtId="0" fontId="11" fillId="0" borderId="0" xfId="0" applyFont="1" applyAlignment="1">
      <alignment vertical="center"/>
    </xf>
    <xf numFmtId="167" fontId="11" fillId="0" borderId="0" xfId="0" applyNumberFormat="1" applyFont="1"/>
    <xf numFmtId="2" fontId="11" fillId="0" borderId="0" xfId="0" applyNumberFormat="1" applyFont="1"/>
    <xf numFmtId="0" fontId="12" fillId="3" borderId="9" xfId="0" applyFont="1" applyFill="1" applyBorder="1" applyAlignment="1">
      <alignment horizontal="center"/>
    </xf>
    <xf numFmtId="167" fontId="12" fillId="0" borderId="9" xfId="0" applyNumberFormat="1" applyFont="1" applyBorder="1"/>
    <xf numFmtId="167" fontId="12" fillId="0" borderId="10" xfId="0" applyNumberFormat="1" applyFont="1" applyBorder="1"/>
    <xf numFmtId="167" fontId="11" fillId="9" borderId="8" xfId="0" applyNumberFormat="1" applyFont="1" applyFill="1" applyBorder="1"/>
    <xf numFmtId="167" fontId="11" fillId="9" borderId="5" xfId="0" applyNumberFormat="1" applyFont="1" applyFill="1" applyBorder="1"/>
    <xf numFmtId="0" fontId="11" fillId="0" borderId="0" xfId="0" applyFont="1"/>
    <xf numFmtId="164" fontId="12" fillId="0" borderId="1" xfId="0" applyNumberFormat="1" applyFont="1" applyBorder="1"/>
    <xf numFmtId="164" fontId="11" fillId="9" borderId="5" xfId="0" applyNumberFormat="1" applyFont="1" applyFill="1" applyBorder="1"/>
    <xf numFmtId="0" fontId="27" fillId="0" borderId="0" xfId="0" applyFont="1" applyAlignment="1">
      <alignment horizontal="right"/>
    </xf>
    <xf numFmtId="0" fontId="26" fillId="0" borderId="0" xfId="0" applyFont="1" applyAlignment="1">
      <alignment horizontal="left" vertical="top"/>
    </xf>
    <xf numFmtId="0" fontId="27" fillId="0" borderId="0" xfId="0" applyFont="1" applyAlignment="1">
      <alignment horizontal="right" vertical="top"/>
    </xf>
    <xf numFmtId="2" fontId="27" fillId="0" borderId="0" xfId="0" applyNumberFormat="1" applyFont="1" applyAlignment="1">
      <alignment vertical="center"/>
    </xf>
    <xf numFmtId="0" fontId="26" fillId="0" borderId="0" xfId="0" applyFont="1" applyAlignment="1">
      <alignment vertical="distributed"/>
    </xf>
    <xf numFmtId="2" fontId="27" fillId="0" borderId="0" xfId="0" applyNumberFormat="1" applyFont="1" applyAlignment="1">
      <alignment vertical="top"/>
    </xf>
    <xf numFmtId="166" fontId="27" fillId="0" borderId="1" xfId="0" applyNumberFormat="1" applyFont="1" applyBorder="1" applyAlignment="1">
      <alignment vertical="center"/>
    </xf>
    <xf numFmtId="9" fontId="44" fillId="0" borderId="19" xfId="0" applyNumberFormat="1" applyFont="1" applyBorder="1" applyAlignment="1">
      <alignment vertical="center" wrapText="1"/>
    </xf>
    <xf numFmtId="9" fontId="44" fillId="0" borderId="23" xfId="0" applyNumberFormat="1" applyFont="1" applyBorder="1" applyAlignment="1">
      <alignment vertical="center" wrapText="1"/>
    </xf>
    <xf numFmtId="0" fontId="24" fillId="0" borderId="0" xfId="0" applyFont="1" applyAlignment="1">
      <alignment horizontal="right" vertical="center"/>
    </xf>
    <xf numFmtId="2" fontId="28" fillId="0" borderId="0" xfId="0" applyNumberFormat="1" applyFont="1" applyAlignment="1">
      <alignment vertical="center" wrapText="1"/>
    </xf>
    <xf numFmtId="0" fontId="28" fillId="0" borderId="0" xfId="0" applyFont="1" applyAlignment="1">
      <alignment vertical="center"/>
    </xf>
    <xf numFmtId="2" fontId="28" fillId="0" borderId="0" xfId="0" applyNumberFormat="1" applyFont="1" applyAlignment="1">
      <alignment horizontal="left" vertical="center"/>
    </xf>
    <xf numFmtId="2" fontId="28" fillId="0" borderId="0" xfId="0" applyNumberFormat="1" applyFont="1" applyAlignment="1">
      <alignment vertical="center"/>
    </xf>
    <xf numFmtId="0" fontId="24" fillId="0" borderId="2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30" fillId="4" borderId="0" xfId="0" applyFont="1" applyFill="1"/>
    <xf numFmtId="165" fontId="29" fillId="4" borderId="0" xfId="0" applyNumberFormat="1" applyFont="1" applyFill="1"/>
    <xf numFmtId="0" fontId="45" fillId="0" borderId="0" xfId="0" applyFont="1" applyAlignment="1">
      <alignment horizontal="center"/>
    </xf>
    <xf numFmtId="0" fontId="46" fillId="0" borderId="0" xfId="0" applyFont="1" applyAlignment="1">
      <alignment horizontal="center" vertical="center"/>
    </xf>
    <xf numFmtId="0" fontId="45" fillId="0" borderId="0" xfId="0" applyFont="1"/>
    <xf numFmtId="0" fontId="45" fillId="0" borderId="0" xfId="0" applyFont="1" applyAlignment="1">
      <alignment horizontal="left"/>
    </xf>
    <xf numFmtId="0" fontId="47" fillId="0" borderId="0" xfId="0" applyFont="1" applyAlignment="1">
      <alignment horizontal="center" vertical="center"/>
    </xf>
    <xf numFmtId="165" fontId="34" fillId="0" borderId="0" xfId="0" applyNumberFormat="1" applyFont="1" applyAlignment="1">
      <alignment vertical="center"/>
    </xf>
    <xf numFmtId="0" fontId="28" fillId="0" borderId="0" xfId="0" applyFont="1" applyAlignment="1">
      <alignment horizontal="left" vertical="center"/>
    </xf>
    <xf numFmtId="0" fontId="21" fillId="0" borderId="0" xfId="0" applyFont="1" applyAlignment="1">
      <alignment horizontal="center"/>
    </xf>
    <xf numFmtId="167" fontId="21" fillId="0" borderId="0" xfId="0" applyNumberFormat="1" applyFont="1" applyAlignment="1">
      <alignment horizontal="center"/>
    </xf>
    <xf numFmtId="166" fontId="21" fillId="0" borderId="0" xfId="0" applyNumberFormat="1" applyFont="1" applyAlignment="1">
      <alignment horizontal="center"/>
    </xf>
    <xf numFmtId="0" fontId="22" fillId="0" borderId="0" xfId="0" applyFont="1"/>
    <xf numFmtId="0" fontId="27" fillId="0" borderId="10" xfId="0" applyFont="1" applyBorder="1" applyAlignment="1">
      <alignment horizontal="center" vertical="top"/>
    </xf>
    <xf numFmtId="0" fontId="27" fillId="0" borderId="11" xfId="0" applyFont="1" applyBorder="1" applyAlignment="1">
      <alignment horizontal="center" vertical="top"/>
    </xf>
    <xf numFmtId="0" fontId="27" fillId="0" borderId="12" xfId="0" applyFont="1" applyBorder="1" applyAlignment="1">
      <alignment horizontal="center" vertical="top"/>
    </xf>
    <xf numFmtId="0" fontId="27" fillId="0" borderId="5" xfId="0" applyFont="1" applyBorder="1" applyAlignment="1">
      <alignment horizontal="center" vertical="top"/>
    </xf>
    <xf numFmtId="0" fontId="27" fillId="0" borderId="6" xfId="0" applyFont="1" applyBorder="1" applyAlignment="1">
      <alignment horizontal="center" vertical="top"/>
    </xf>
    <xf numFmtId="0" fontId="27" fillId="0" borderId="7" xfId="0" applyFont="1" applyBorder="1" applyAlignment="1">
      <alignment horizontal="center" vertical="top"/>
    </xf>
    <xf numFmtId="0" fontId="27" fillId="0" borderId="1" xfId="0" applyFont="1" applyBorder="1" applyAlignment="1">
      <alignment horizontal="center" vertical="top"/>
    </xf>
    <xf numFmtId="0" fontId="27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/>
    </xf>
    <xf numFmtId="0" fontId="27" fillId="4" borderId="1" xfId="0" applyFont="1" applyFill="1" applyBorder="1" applyAlignment="1">
      <alignment horizontal="center"/>
    </xf>
    <xf numFmtId="0" fontId="2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26" fillId="0" borderId="1" xfId="0" applyFont="1" applyBorder="1" applyAlignment="1">
      <alignment horizontal="center" vertical="center" wrapText="1"/>
    </xf>
    <xf numFmtId="1" fontId="26" fillId="4" borderId="2" xfId="0" applyNumberFormat="1" applyFont="1" applyFill="1" applyBorder="1" applyAlignment="1">
      <alignment horizontal="center" vertical="center" wrapText="1"/>
    </xf>
    <xf numFmtId="1" fontId="26" fillId="4" borderId="3" xfId="0" applyNumberFormat="1" applyFont="1" applyFill="1" applyBorder="1" applyAlignment="1">
      <alignment horizontal="center" vertical="center" wrapText="1"/>
    </xf>
    <xf numFmtId="1" fontId="26" fillId="4" borderId="4" xfId="0" applyNumberFormat="1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0" borderId="1" xfId="0" applyFont="1" applyBorder="1" applyAlignment="1">
      <alignment horizontal="left" vertical="center" wrapText="1"/>
    </xf>
    <xf numFmtId="0" fontId="27" fillId="4" borderId="3" xfId="0" quotePrefix="1" applyFont="1" applyFill="1" applyBorder="1" applyAlignment="1">
      <alignment horizontal="center"/>
    </xf>
    <xf numFmtId="0" fontId="27" fillId="0" borderId="3" xfId="0" quotePrefix="1" applyFont="1" applyBorder="1" applyAlignment="1">
      <alignment horizontal="center"/>
    </xf>
    <xf numFmtId="0" fontId="27" fillId="4" borderId="1" xfId="0" applyFont="1" applyFill="1" applyBorder="1" applyAlignment="1">
      <alignment horizontal="center" vertical="center" wrapText="1"/>
    </xf>
    <xf numFmtId="0" fontId="19" fillId="0" borderId="2" xfId="0" applyFont="1" applyBorder="1" applyAlignment="1">
      <alignment horizontal="center" wrapText="1"/>
    </xf>
    <xf numFmtId="0" fontId="19" fillId="0" borderId="3" xfId="0" applyFont="1" applyBorder="1" applyAlignment="1">
      <alignment horizontal="center" wrapText="1"/>
    </xf>
    <xf numFmtId="0" fontId="19" fillId="0" borderId="4" xfId="0" applyFont="1" applyBorder="1" applyAlignment="1">
      <alignment horizontal="center" wrapText="1"/>
    </xf>
    <xf numFmtId="0" fontId="19" fillId="0" borderId="3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26" fillId="0" borderId="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6" fillId="7" borderId="0" xfId="0" applyFont="1" applyFill="1" applyAlignment="1">
      <alignment horizontal="left" vertical="center" wrapText="1"/>
    </xf>
    <xf numFmtId="0" fontId="27" fillId="0" borderId="2" xfId="0" applyFont="1" applyBorder="1" applyAlignment="1">
      <alignment horizontal="left" vertical="center" wrapText="1"/>
    </xf>
    <xf numFmtId="0" fontId="27" fillId="0" borderId="3" xfId="0" applyFont="1" applyBorder="1" applyAlignment="1">
      <alignment horizontal="left" vertical="center" wrapText="1"/>
    </xf>
    <xf numFmtId="0" fontId="27" fillId="0" borderId="4" xfId="0" applyFont="1" applyBorder="1" applyAlignment="1">
      <alignment horizontal="left" vertical="center" wrapText="1"/>
    </xf>
    <xf numFmtId="0" fontId="27" fillId="0" borderId="13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0" fontId="27" fillId="0" borderId="14" xfId="0" applyFont="1" applyBorder="1" applyAlignment="1">
      <alignment horizontal="left" vertical="center" wrapText="1"/>
    </xf>
    <xf numFmtId="0" fontId="27" fillId="4" borderId="13" xfId="0" applyFont="1" applyFill="1" applyBorder="1" applyAlignment="1">
      <alignment horizontal="center" vertical="center" wrapText="1"/>
    </xf>
    <xf numFmtId="0" fontId="27" fillId="4" borderId="0" xfId="0" applyFont="1" applyFill="1" applyAlignment="1">
      <alignment horizontal="center" vertical="center" wrapText="1"/>
    </xf>
    <xf numFmtId="0" fontId="27" fillId="4" borderId="14" xfId="0" applyFont="1" applyFill="1" applyBorder="1" applyAlignment="1">
      <alignment horizontal="center" vertical="center" wrapText="1"/>
    </xf>
    <xf numFmtId="0" fontId="27" fillId="0" borderId="8" xfId="0" applyFont="1" applyBorder="1" applyAlignment="1">
      <alignment horizontal="left"/>
    </xf>
    <xf numFmtId="0" fontId="27" fillId="7" borderId="8" xfId="0" applyFont="1" applyFill="1" applyBorder="1" applyAlignment="1">
      <alignment horizontal="center"/>
    </xf>
    <xf numFmtId="0" fontId="27" fillId="0" borderId="8" xfId="0" applyFont="1" applyBorder="1" applyAlignment="1">
      <alignment horizontal="center"/>
    </xf>
    <xf numFmtId="0" fontId="27" fillId="4" borderId="8" xfId="0" applyFont="1" applyFill="1" applyBorder="1" applyAlignment="1">
      <alignment horizontal="center"/>
    </xf>
    <xf numFmtId="0" fontId="27" fillId="7" borderId="1" xfId="0" applyFont="1" applyFill="1" applyBorder="1" applyAlignment="1">
      <alignment horizontal="center"/>
    </xf>
    <xf numFmtId="0" fontId="27" fillId="0" borderId="2" xfId="0" applyFont="1" applyBorder="1" applyAlignment="1">
      <alignment horizontal="left"/>
    </xf>
    <xf numFmtId="0" fontId="27" fillId="0" borderId="3" xfId="0" applyFont="1" applyBorder="1" applyAlignment="1">
      <alignment horizontal="left"/>
    </xf>
    <xf numFmtId="0" fontId="27" fillId="0" borderId="4" xfId="0" applyFont="1" applyBorder="1" applyAlignment="1">
      <alignment horizontal="left"/>
    </xf>
    <xf numFmtId="164" fontId="27" fillId="4" borderId="3" xfId="0" applyNumberFormat="1" applyFont="1" applyFill="1" applyBorder="1" applyAlignment="1">
      <alignment horizontal="center"/>
    </xf>
    <xf numFmtId="164" fontId="27" fillId="4" borderId="6" xfId="0" applyNumberFormat="1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7" borderId="0" xfId="0" applyFont="1" applyFill="1" applyAlignment="1">
      <alignment horizontal="center" vertical="center" wrapText="1"/>
    </xf>
    <xf numFmtId="0" fontId="26" fillId="7" borderId="0" xfId="0" applyFont="1" applyFill="1" applyAlignment="1">
      <alignment horizontal="center" vertical="top"/>
    </xf>
    <xf numFmtId="0" fontId="26" fillId="0" borderId="9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2" fontId="27" fillId="0" borderId="0" xfId="0" applyNumberFormat="1" applyFont="1" applyAlignment="1">
      <alignment horizontal="center"/>
    </xf>
    <xf numFmtId="0" fontId="26" fillId="7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right" vertical="center"/>
    </xf>
    <xf numFmtId="0" fontId="27" fillId="7" borderId="0" xfId="0" applyFont="1" applyFill="1" applyAlignment="1">
      <alignment horizontal="left" vertical="center"/>
    </xf>
    <xf numFmtId="164" fontId="26" fillId="7" borderId="0" xfId="0" applyNumberFormat="1" applyFont="1" applyFill="1" applyAlignment="1">
      <alignment horizontal="center" vertical="center" wrapText="1"/>
    </xf>
    <xf numFmtId="0" fontId="27" fillId="7" borderId="0" xfId="0" applyFont="1" applyFill="1" applyAlignment="1">
      <alignment horizontal="right" vertical="center" wrapText="1"/>
    </xf>
    <xf numFmtId="0" fontId="27" fillId="7" borderId="0" xfId="0" applyFont="1" applyFill="1" applyAlignment="1">
      <alignment horizontal="left" vertical="center" wrapText="1"/>
    </xf>
    <xf numFmtId="2" fontId="26" fillId="7" borderId="0" xfId="0" applyNumberFormat="1" applyFont="1" applyFill="1" applyAlignment="1">
      <alignment horizontal="center" vertical="center"/>
    </xf>
    <xf numFmtId="0" fontId="27" fillId="7" borderId="0" xfId="0" applyFont="1" applyFill="1" applyAlignment="1">
      <alignment horizontal="left"/>
    </xf>
    <xf numFmtId="0" fontId="27" fillId="7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/>
    </xf>
    <xf numFmtId="164" fontId="26" fillId="7" borderId="0" xfId="0" applyNumberFormat="1" applyFont="1" applyFill="1" applyAlignment="1">
      <alignment horizontal="center" vertical="center"/>
    </xf>
    <xf numFmtId="0" fontId="26" fillId="7" borderId="0" xfId="0" applyFont="1" applyFill="1" applyAlignment="1">
      <alignment horizontal="right" vertical="center"/>
    </xf>
    <xf numFmtId="0" fontId="26" fillId="7" borderId="0" xfId="0" applyFont="1" applyFill="1" applyAlignment="1">
      <alignment horizontal="left"/>
    </xf>
    <xf numFmtId="0" fontId="26" fillId="7" borderId="0" xfId="0" applyFont="1" applyFill="1" applyAlignment="1">
      <alignment horizontal="left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distributed" wrapText="1"/>
    </xf>
    <xf numFmtId="0" fontId="19" fillId="0" borderId="3" xfId="0" applyFont="1" applyBorder="1" applyAlignment="1">
      <alignment horizontal="left" vertical="distributed" wrapText="1"/>
    </xf>
    <xf numFmtId="0" fontId="19" fillId="0" borderId="4" xfId="0" applyFont="1" applyBorder="1" applyAlignment="1">
      <alignment horizontal="left" vertical="distributed" wrapText="1"/>
    </xf>
    <xf numFmtId="0" fontId="26" fillId="0" borderId="0" xfId="0" applyFont="1" applyAlignment="1">
      <alignment horizontal="left"/>
    </xf>
    <xf numFmtId="165" fontId="29" fillId="4" borderId="0" xfId="0" quotePrefix="1" applyNumberFormat="1" applyFont="1" applyFill="1" applyAlignment="1">
      <alignment horizontal="left"/>
    </xf>
    <xf numFmtId="0" fontId="12" fillId="0" borderId="0" xfId="0" applyFont="1" applyAlignment="1">
      <alignment horizontal="center"/>
    </xf>
    <xf numFmtId="0" fontId="27" fillId="0" borderId="5" xfId="0" applyFont="1" applyBorder="1" applyAlignment="1">
      <alignment horizontal="left"/>
    </xf>
    <xf numFmtId="0" fontId="27" fillId="0" borderId="6" xfId="0" applyFont="1" applyBorder="1" applyAlignment="1">
      <alignment horizontal="left"/>
    </xf>
    <xf numFmtId="0" fontId="27" fillId="0" borderId="7" xfId="0" applyFont="1" applyBorder="1" applyAlignment="1">
      <alignment horizontal="left"/>
    </xf>
    <xf numFmtId="0" fontId="27" fillId="4" borderId="6" xfId="0" applyFont="1" applyFill="1" applyBorder="1" applyAlignment="1">
      <alignment horizontal="center"/>
    </xf>
    <xf numFmtId="0" fontId="33" fillId="0" borderId="8" xfId="0" applyFont="1" applyBorder="1" applyAlignment="1">
      <alignment horizontal="left"/>
    </xf>
    <xf numFmtId="0" fontId="33" fillId="0" borderId="8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top"/>
    </xf>
    <xf numFmtId="0" fontId="26" fillId="0" borderId="6" xfId="0" applyFont="1" applyBorder="1" applyAlignment="1">
      <alignment horizontal="center" vertical="top"/>
    </xf>
    <xf numFmtId="0" fontId="26" fillId="0" borderId="7" xfId="0" applyFont="1" applyBorder="1" applyAlignment="1">
      <alignment horizontal="center" vertical="top"/>
    </xf>
    <xf numFmtId="0" fontId="26" fillId="0" borderId="5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0" fontId="34" fillId="0" borderId="6" xfId="0" applyFont="1" applyBorder="1" applyAlignment="1">
      <alignment horizontal="center"/>
    </xf>
    <xf numFmtId="0" fontId="34" fillId="0" borderId="14" xfId="0" applyFont="1" applyBorder="1" applyAlignment="1">
      <alignment horizontal="center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horizontal="left"/>
    </xf>
    <xf numFmtId="0" fontId="37" fillId="0" borderId="0" xfId="0" applyFont="1" applyAlignment="1">
      <alignment horizontal="center"/>
    </xf>
    <xf numFmtId="164" fontId="34" fillId="0" borderId="5" xfId="0" applyNumberFormat="1" applyFont="1" applyBorder="1" applyAlignment="1">
      <alignment horizontal="center" vertical="top"/>
    </xf>
    <xf numFmtId="164" fontId="34" fillId="0" borderId="6" xfId="0" applyNumberFormat="1" applyFont="1" applyBorder="1" applyAlignment="1">
      <alignment horizontal="center" vertical="top"/>
    </xf>
    <xf numFmtId="164" fontId="34" fillId="0" borderId="7" xfId="0" applyNumberFormat="1" applyFont="1" applyBorder="1" applyAlignment="1">
      <alignment horizontal="center" vertical="top"/>
    </xf>
    <xf numFmtId="2" fontId="34" fillId="0" borderId="2" xfId="0" applyNumberFormat="1" applyFont="1" applyBorder="1" applyAlignment="1">
      <alignment horizontal="center" vertical="center"/>
    </xf>
    <xf numFmtId="2" fontId="34" fillId="0" borderId="3" xfId="0" applyNumberFormat="1" applyFont="1" applyBorder="1" applyAlignment="1">
      <alignment horizontal="center" vertical="center"/>
    </xf>
    <xf numFmtId="2" fontId="34" fillId="0" borderId="4" xfId="0" applyNumberFormat="1" applyFont="1" applyBorder="1" applyAlignment="1">
      <alignment horizontal="center" vertical="center"/>
    </xf>
    <xf numFmtId="165" fontId="33" fillId="0" borderId="0" xfId="0" applyNumberFormat="1" applyFont="1" applyAlignment="1">
      <alignment horizontal="left"/>
    </xf>
    <xf numFmtId="1" fontId="27" fillId="0" borderId="1" xfId="0" applyNumberFormat="1" applyFont="1" applyBorder="1" applyAlignment="1">
      <alignment horizontal="center" vertical="center"/>
    </xf>
    <xf numFmtId="1" fontId="26" fillId="0" borderId="2" xfId="0" applyNumberFormat="1" applyFont="1" applyBorder="1" applyAlignment="1">
      <alignment horizontal="center" vertical="center"/>
    </xf>
    <xf numFmtId="1" fontId="26" fillId="0" borderId="3" xfId="0" applyNumberFormat="1" applyFont="1" applyBorder="1" applyAlignment="1">
      <alignment horizontal="center" vertical="center"/>
    </xf>
    <xf numFmtId="1" fontId="26" fillId="0" borderId="4" xfId="0" applyNumberFormat="1" applyFont="1" applyBorder="1" applyAlignment="1">
      <alignment horizontal="center" vertical="center"/>
    </xf>
    <xf numFmtId="164" fontId="44" fillId="12" borderId="17" xfId="0" applyNumberFormat="1" applyFont="1" applyFill="1" applyBorder="1" applyAlignment="1">
      <alignment horizontal="center" vertical="center" wrapText="1"/>
    </xf>
    <xf numFmtId="0" fontId="43" fillId="8" borderId="18" xfId="0" applyFont="1" applyFill="1" applyBorder="1"/>
    <xf numFmtId="0" fontId="43" fillId="8" borderId="19" xfId="0" applyFont="1" applyFill="1" applyBorder="1"/>
    <xf numFmtId="0" fontId="43" fillId="8" borderId="21" xfId="0" applyFont="1" applyFill="1" applyBorder="1"/>
    <xf numFmtId="0" fontId="43" fillId="8" borderId="22" xfId="0" applyFont="1" applyFill="1" applyBorder="1"/>
    <xf numFmtId="0" fontId="43" fillId="8" borderId="23" xfId="0" applyFont="1" applyFill="1" applyBorder="1"/>
    <xf numFmtId="0" fontId="44" fillId="0" borderId="21" xfId="0" applyFont="1" applyBorder="1" applyAlignment="1">
      <alignment horizontal="center" vertical="center" wrapText="1"/>
    </xf>
    <xf numFmtId="0" fontId="44" fillId="0" borderId="22" xfId="0" applyFont="1" applyBorder="1" applyAlignment="1">
      <alignment horizontal="center" vertical="center" wrapText="1"/>
    </xf>
    <xf numFmtId="164" fontId="24" fillId="0" borderId="16" xfId="0" applyNumberFormat="1" applyFont="1" applyBorder="1" applyAlignment="1">
      <alignment horizontal="center" vertical="center"/>
    </xf>
    <xf numFmtId="0" fontId="43" fillId="0" borderId="20" xfId="0" applyFont="1" applyBorder="1"/>
    <xf numFmtId="0" fontId="24" fillId="0" borderId="17" xfId="0" applyFont="1" applyBorder="1" applyAlignment="1">
      <alignment horizontal="center" vertical="center" wrapText="1"/>
    </xf>
    <xf numFmtId="0" fontId="43" fillId="0" borderId="18" xfId="0" applyFont="1" applyBorder="1"/>
    <xf numFmtId="0" fontId="43" fillId="0" borderId="19" xfId="0" applyFont="1" applyBorder="1"/>
    <xf numFmtId="0" fontId="43" fillId="0" borderId="21" xfId="0" applyFont="1" applyBorder="1"/>
    <xf numFmtId="0" fontId="43" fillId="0" borderId="22" xfId="0" applyFont="1" applyBorder="1"/>
    <xf numFmtId="0" fontId="43" fillId="0" borderId="23" xfId="0" applyFont="1" applyBorder="1"/>
    <xf numFmtId="0" fontId="44" fillId="0" borderId="16" xfId="0" applyFont="1" applyBorder="1" applyAlignment="1">
      <alignment horizontal="center" vertical="center"/>
    </xf>
    <xf numFmtId="0" fontId="44" fillId="0" borderId="20" xfId="0" applyFont="1" applyBorder="1" applyAlignment="1">
      <alignment horizontal="center" vertical="center"/>
    </xf>
    <xf numFmtId="1" fontId="44" fillId="0" borderId="17" xfId="0" applyNumberFormat="1" applyFont="1" applyBorder="1" applyAlignment="1">
      <alignment horizontal="center" vertical="center"/>
    </xf>
    <xf numFmtId="1" fontId="44" fillId="0" borderId="18" xfId="0" applyNumberFormat="1" applyFont="1" applyBorder="1" applyAlignment="1">
      <alignment horizontal="center" vertical="center"/>
    </xf>
    <xf numFmtId="1" fontId="44" fillId="0" borderId="19" xfId="0" applyNumberFormat="1" applyFont="1" applyBorder="1" applyAlignment="1">
      <alignment horizontal="center" vertical="center"/>
    </xf>
    <xf numFmtId="1" fontId="44" fillId="0" borderId="21" xfId="0" applyNumberFormat="1" applyFont="1" applyBorder="1" applyAlignment="1">
      <alignment horizontal="center" vertical="center"/>
    </xf>
    <xf numFmtId="1" fontId="44" fillId="0" borderId="22" xfId="0" applyNumberFormat="1" applyFont="1" applyBorder="1" applyAlignment="1">
      <alignment horizontal="center" vertical="center"/>
    </xf>
    <xf numFmtId="1" fontId="44" fillId="0" borderId="23" xfId="0" applyNumberFormat="1" applyFont="1" applyBorder="1" applyAlignment="1">
      <alignment horizontal="center" vertical="center"/>
    </xf>
    <xf numFmtId="2" fontId="44" fillId="0" borderId="17" xfId="0" applyNumberFormat="1" applyFont="1" applyBorder="1" applyAlignment="1">
      <alignment horizontal="center" vertical="center"/>
    </xf>
    <xf numFmtId="2" fontId="44" fillId="0" borderId="18" xfId="0" applyNumberFormat="1" applyFont="1" applyBorder="1" applyAlignment="1">
      <alignment horizontal="center" vertical="center"/>
    </xf>
    <xf numFmtId="2" fontId="44" fillId="0" borderId="19" xfId="0" applyNumberFormat="1" applyFont="1" applyBorder="1" applyAlignment="1">
      <alignment horizontal="center" vertical="center"/>
    </xf>
    <xf numFmtId="2" fontId="44" fillId="0" borderId="21" xfId="0" applyNumberFormat="1" applyFont="1" applyBorder="1" applyAlignment="1">
      <alignment horizontal="center" vertical="center"/>
    </xf>
    <xf numFmtId="2" fontId="44" fillId="0" borderId="22" xfId="0" applyNumberFormat="1" applyFont="1" applyBorder="1" applyAlignment="1">
      <alignment horizontal="center" vertical="center"/>
    </xf>
    <xf numFmtId="2" fontId="44" fillId="0" borderId="23" xfId="0" applyNumberFormat="1" applyFont="1" applyBorder="1" applyAlignment="1">
      <alignment horizontal="center" vertical="center"/>
    </xf>
    <xf numFmtId="9" fontId="44" fillId="0" borderId="17" xfId="0" applyNumberFormat="1" applyFont="1" applyBorder="1" applyAlignment="1">
      <alignment horizontal="center" vertical="center"/>
    </xf>
    <xf numFmtId="9" fontId="44" fillId="0" borderId="18" xfId="0" applyNumberFormat="1" applyFont="1" applyBorder="1" applyAlignment="1">
      <alignment horizontal="center" vertical="center"/>
    </xf>
    <xf numFmtId="9" fontId="44" fillId="0" borderId="19" xfId="0" applyNumberFormat="1" applyFont="1" applyBorder="1" applyAlignment="1">
      <alignment horizontal="center" vertical="center"/>
    </xf>
    <xf numFmtId="9" fontId="44" fillId="0" borderId="21" xfId="0" applyNumberFormat="1" applyFont="1" applyBorder="1" applyAlignment="1">
      <alignment horizontal="center" vertical="center"/>
    </xf>
    <xf numFmtId="9" fontId="44" fillId="0" borderId="22" xfId="0" applyNumberFormat="1" applyFont="1" applyBorder="1" applyAlignment="1">
      <alignment horizontal="center" vertical="center"/>
    </xf>
    <xf numFmtId="9" fontId="44" fillId="0" borderId="23" xfId="0" applyNumberFormat="1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4" fillId="0" borderId="18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0" borderId="22" xfId="0" applyFont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 wrapText="1"/>
    </xf>
    <xf numFmtId="0" fontId="44" fillId="0" borderId="18" xfId="0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2" fontId="29" fillId="0" borderId="2" xfId="0" applyNumberFormat="1" applyFont="1" applyBorder="1" applyAlignment="1">
      <alignment horizontal="center" vertical="center" wrapText="1"/>
    </xf>
    <xf numFmtId="2" fontId="29" fillId="0" borderId="3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2" fontId="29" fillId="8" borderId="3" xfId="0" applyNumberFormat="1" applyFont="1" applyFill="1" applyBorder="1" applyAlignment="1">
      <alignment horizontal="center" vertical="center" wrapText="1"/>
    </xf>
    <xf numFmtId="2" fontId="29" fillId="8" borderId="4" xfId="0" applyNumberFormat="1" applyFont="1" applyFill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left"/>
    </xf>
    <xf numFmtId="164" fontId="29" fillId="0" borderId="1" xfId="0" applyNumberFormat="1" applyFont="1" applyBorder="1" applyAlignment="1">
      <alignment horizontal="center"/>
    </xf>
    <xf numFmtId="0" fontId="26" fillId="0" borderId="8" xfId="0" applyFont="1" applyBorder="1" applyAlignment="1">
      <alignment horizontal="center" vertical="center"/>
    </xf>
    <xf numFmtId="164" fontId="27" fillId="8" borderId="10" xfId="0" applyNumberFormat="1" applyFont="1" applyFill="1" applyBorder="1" applyAlignment="1">
      <alignment horizontal="center" vertical="center" wrapText="1"/>
    </xf>
    <xf numFmtId="164" fontId="27" fillId="8" borderId="11" xfId="0" applyNumberFormat="1" applyFont="1" applyFill="1" applyBorder="1" applyAlignment="1">
      <alignment horizontal="center" vertical="center" wrapText="1"/>
    </xf>
    <xf numFmtId="164" fontId="27" fillId="8" borderId="12" xfId="0" applyNumberFormat="1" applyFont="1" applyFill="1" applyBorder="1" applyAlignment="1">
      <alignment horizontal="center" vertical="center" wrapText="1"/>
    </xf>
    <xf numFmtId="164" fontId="27" fillId="8" borderId="13" xfId="0" applyNumberFormat="1" applyFont="1" applyFill="1" applyBorder="1" applyAlignment="1">
      <alignment horizontal="center" vertical="center" wrapText="1"/>
    </xf>
    <xf numFmtId="164" fontId="27" fillId="8" borderId="0" xfId="0" applyNumberFormat="1" applyFont="1" applyFill="1" applyAlignment="1">
      <alignment horizontal="center" vertical="center" wrapText="1"/>
    </xf>
    <xf numFmtId="164" fontId="27" fillId="8" borderId="14" xfId="0" applyNumberFormat="1" applyFont="1" applyFill="1" applyBorder="1" applyAlignment="1">
      <alignment horizontal="center" vertical="center" wrapText="1"/>
    </xf>
    <xf numFmtId="0" fontId="27" fillId="8" borderId="10" xfId="0" applyFont="1" applyFill="1" applyBorder="1" applyAlignment="1">
      <alignment horizontal="center" vertical="center"/>
    </xf>
    <xf numFmtId="0" fontId="27" fillId="8" borderId="11" xfId="0" applyFont="1" applyFill="1" applyBorder="1" applyAlignment="1">
      <alignment horizontal="center" vertical="center"/>
    </xf>
    <xf numFmtId="0" fontId="27" fillId="8" borderId="12" xfId="0" applyFont="1" applyFill="1" applyBorder="1" applyAlignment="1">
      <alignment horizontal="center" vertical="center"/>
    </xf>
    <xf numFmtId="0" fontId="27" fillId="8" borderId="13" xfId="0" applyFont="1" applyFill="1" applyBorder="1" applyAlignment="1">
      <alignment horizontal="center" vertical="center"/>
    </xf>
    <xf numFmtId="0" fontId="27" fillId="8" borderId="0" xfId="0" applyFont="1" applyFill="1" applyAlignment="1">
      <alignment horizontal="center" vertical="center"/>
    </xf>
    <xf numFmtId="0" fontId="27" fillId="8" borderId="14" xfId="0" applyFont="1" applyFill="1" applyBorder="1" applyAlignment="1">
      <alignment horizontal="center" vertical="center"/>
    </xf>
    <xf numFmtId="0" fontId="39" fillId="0" borderId="2" xfId="0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0" fontId="39" fillId="0" borderId="2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39" fillId="0" borderId="4" xfId="0" applyFont="1" applyBorder="1" applyAlignment="1">
      <alignment horizontal="center"/>
    </xf>
    <xf numFmtId="0" fontId="39" fillId="0" borderId="1" xfId="0" applyFont="1" applyBorder="1" applyAlignment="1">
      <alignment horizontal="center" vertical="center"/>
    </xf>
    <xf numFmtId="1" fontId="39" fillId="0" borderId="1" xfId="0" applyNumberFormat="1" applyFont="1" applyBorder="1" applyAlignment="1">
      <alignment horizontal="center"/>
    </xf>
    <xf numFmtId="1" fontId="39" fillId="8" borderId="1" xfId="0" applyNumberFormat="1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28" fillId="8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6" fillId="8" borderId="1" xfId="0" applyFont="1" applyFill="1" applyBorder="1" applyAlignment="1">
      <alignment horizontal="center" vertical="center" wrapText="1"/>
    </xf>
    <xf numFmtId="164" fontId="27" fillId="8" borderId="1" xfId="0" applyNumberFormat="1" applyFont="1" applyFill="1" applyBorder="1" applyAlignment="1">
      <alignment horizontal="center" vertical="center" wrapText="1"/>
    </xf>
    <xf numFmtId="164" fontId="29" fillId="8" borderId="10" xfId="0" applyNumberFormat="1" applyFont="1" applyFill="1" applyBorder="1" applyAlignment="1">
      <alignment horizontal="center" vertical="center" wrapText="1"/>
    </xf>
    <xf numFmtId="164" fontId="29" fillId="8" borderId="11" xfId="0" applyNumberFormat="1" applyFont="1" applyFill="1" applyBorder="1" applyAlignment="1">
      <alignment horizontal="center" vertical="center" wrapText="1"/>
    </xf>
    <xf numFmtId="164" fontId="29" fillId="8" borderId="12" xfId="0" applyNumberFormat="1" applyFont="1" applyFill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0" fontId="27" fillId="0" borderId="3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7" fillId="0" borderId="2" xfId="0" applyFont="1" applyBorder="1" applyAlignment="1">
      <alignment horizontal="center" vertical="center"/>
    </xf>
    <xf numFmtId="164" fontId="29" fillId="0" borderId="1" xfId="0" applyNumberFormat="1" applyFont="1" applyBorder="1" applyAlignment="1">
      <alignment horizontal="left" vertical="center" wrapText="1"/>
    </xf>
    <xf numFmtId="0" fontId="27" fillId="0" borderId="1" xfId="0" applyFont="1" applyBorder="1" applyAlignment="1">
      <alignment horizontal="center" vertical="center" wrapText="1"/>
    </xf>
    <xf numFmtId="165" fontId="28" fillId="0" borderId="0" xfId="0" applyNumberFormat="1" applyFont="1" applyAlignment="1">
      <alignment horizontal="left"/>
    </xf>
    <xf numFmtId="0" fontId="28" fillId="0" borderId="2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8" borderId="2" xfId="0" applyFont="1" applyFill="1" applyBorder="1" applyAlignment="1">
      <alignment horizontal="center" vertical="center" wrapText="1"/>
    </xf>
    <xf numFmtId="0" fontId="28" fillId="8" borderId="3" xfId="0" applyFont="1" applyFill="1" applyBorder="1" applyAlignment="1">
      <alignment horizontal="center" vertical="center" wrapText="1"/>
    </xf>
    <xf numFmtId="0" fontId="28" fillId="8" borderId="4" xfId="0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/>
    </xf>
    <xf numFmtId="164" fontId="29" fillId="0" borderId="2" xfId="0" applyNumberFormat="1" applyFont="1" applyBorder="1" applyAlignment="1">
      <alignment horizontal="center" vertical="center" wrapText="1"/>
    </xf>
    <xf numFmtId="164" fontId="29" fillId="0" borderId="3" xfId="0" applyNumberFormat="1" applyFont="1" applyBorder="1" applyAlignment="1">
      <alignment horizontal="center" vertical="center" wrapText="1"/>
    </xf>
    <xf numFmtId="164" fontId="29" fillId="0" borderId="4" xfId="0" applyNumberFormat="1" applyFont="1" applyBorder="1" applyAlignment="1">
      <alignment horizontal="center" vertical="center" wrapText="1"/>
    </xf>
    <xf numFmtId="2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1" fillId="5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8" borderId="8" xfId="0" applyFont="1" applyFill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40" fillId="10" borderId="0" xfId="0" applyFont="1" applyFill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12" fillId="0" borderId="9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4" borderId="0" xfId="0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3" borderId="9" xfId="0" applyNumberFormat="1" applyFill="1" applyBorder="1" applyAlignment="1">
      <alignment horizontal="center" vertical="center"/>
    </xf>
    <xf numFmtId="2" fontId="0" fillId="3" borderId="15" xfId="0" applyNumberFormat="1" applyFill="1" applyBorder="1" applyAlignment="1">
      <alignment horizontal="center" vertical="center"/>
    </xf>
    <xf numFmtId="2" fontId="0" fillId="3" borderId="8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3" fillId="5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40" fillId="4" borderId="0" xfId="0" applyFont="1" applyFill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3" fillId="9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jp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141143</xdr:colOff>
      <xdr:row>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171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19</xdr:row>
      <xdr:rowOff>104775</xdr:rowOff>
    </xdr:from>
    <xdr:to>
      <xdr:col>14</xdr:col>
      <xdr:colOff>19050</xdr:colOff>
      <xdr:row>32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95" b="36864"/>
        <a:stretch/>
      </xdr:blipFill>
      <xdr:spPr>
        <a:xfrm>
          <a:off x="5848350" y="2905125"/>
          <a:ext cx="4191000" cy="24669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161925</xdr:rowOff>
    </xdr:from>
    <xdr:to>
      <xdr:col>13</xdr:col>
      <xdr:colOff>352425</xdr:colOff>
      <xdr:row>49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33013" t="31357" r="29327" b="17617"/>
        <a:stretch/>
      </xdr:blipFill>
      <xdr:spPr bwMode="auto">
        <a:xfrm>
          <a:off x="5819775" y="5610225"/>
          <a:ext cx="3838575" cy="3028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152400</xdr:colOff>
      <xdr:row>50</xdr:row>
      <xdr:rowOff>85725</xdr:rowOff>
    </xdr:from>
    <xdr:to>
      <xdr:col>13</xdr:col>
      <xdr:colOff>514350</xdr:colOff>
      <xdr:row>65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29487" t="31642" r="26763" b="13626"/>
        <a:stretch/>
      </xdr:blipFill>
      <xdr:spPr bwMode="auto">
        <a:xfrm>
          <a:off x="5972175" y="8963025"/>
          <a:ext cx="3848100" cy="29146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313531</xdr:colOff>
      <xdr:row>19</xdr:row>
      <xdr:rowOff>119063</xdr:rowOff>
    </xdr:from>
    <xdr:to>
      <xdr:col>23</xdr:col>
      <xdr:colOff>488838</xdr:colOff>
      <xdr:row>42</xdr:row>
      <xdr:rowOff>154782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607"/>
        <a:stretch/>
      </xdr:blipFill>
      <xdr:spPr>
        <a:xfrm>
          <a:off x="11898312" y="2881313"/>
          <a:ext cx="4247245" cy="4369594"/>
        </a:xfrm>
        <a:prstGeom prst="rect">
          <a:avLst/>
        </a:prstGeom>
      </xdr:spPr>
    </xdr:pic>
    <xdr:clientData/>
  </xdr:twoCellAnchor>
  <xdr:twoCellAnchor editAs="oneCell">
    <xdr:from>
      <xdr:col>17</xdr:col>
      <xdr:colOff>250031</xdr:colOff>
      <xdr:row>94</xdr:row>
      <xdr:rowOff>0</xdr:rowOff>
    </xdr:from>
    <xdr:to>
      <xdr:col>24</xdr:col>
      <xdr:colOff>392906</xdr:colOff>
      <xdr:row>109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30128" t="37913" r="27725" b="8210"/>
        <a:stretch/>
      </xdr:blipFill>
      <xdr:spPr bwMode="auto">
        <a:xfrm>
          <a:off x="12180094" y="16811625"/>
          <a:ext cx="4893469" cy="2857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0</xdr:colOff>
      <xdr:row>77</xdr:row>
      <xdr:rowOff>0</xdr:rowOff>
    </xdr:from>
    <xdr:to>
      <xdr:col>25</xdr:col>
      <xdr:colOff>381000</xdr:colOff>
      <xdr:row>91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30448" t="33067" r="29487" b="9065"/>
        <a:stretch/>
      </xdr:blipFill>
      <xdr:spPr bwMode="auto">
        <a:xfrm>
          <a:off x="12608719" y="13573125"/>
          <a:ext cx="5131594" cy="2819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0</xdr:colOff>
      <xdr:row>61</xdr:row>
      <xdr:rowOff>23814</xdr:rowOff>
    </xdr:from>
    <xdr:to>
      <xdr:col>25</xdr:col>
      <xdr:colOff>619125</xdr:colOff>
      <xdr:row>75</xdr:row>
      <xdr:rowOff>85726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30128" t="29647" r="29327" b="10490"/>
        <a:stretch/>
      </xdr:blipFill>
      <xdr:spPr bwMode="auto">
        <a:xfrm>
          <a:off x="12608719" y="10548939"/>
          <a:ext cx="5369719" cy="272891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17</xdr:col>
      <xdr:colOff>654844</xdr:colOff>
      <xdr:row>44</xdr:row>
      <xdr:rowOff>95250</xdr:rowOff>
    </xdr:from>
    <xdr:to>
      <xdr:col>26</xdr:col>
      <xdr:colOff>273844</xdr:colOff>
      <xdr:row>59</xdr:row>
      <xdr:rowOff>104140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l="32051" t="30786" r="28525" b="8210"/>
        <a:stretch/>
      </xdr:blipFill>
      <xdr:spPr bwMode="auto">
        <a:xfrm>
          <a:off x="12584907" y="7381875"/>
          <a:ext cx="5726906" cy="286639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17</xdr:col>
      <xdr:colOff>392906</xdr:colOff>
      <xdr:row>109</xdr:row>
      <xdr:rowOff>130968</xdr:rowOff>
    </xdr:from>
    <xdr:to>
      <xdr:col>27</xdr:col>
      <xdr:colOff>250030</xdr:colOff>
      <xdr:row>125</xdr:row>
      <xdr:rowOff>101784</xdr:rowOff>
    </xdr:to>
    <xdr:pic>
      <xdr:nvPicPr>
        <xdr:cNvPr id="8" name="Picture 1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277" b="26218"/>
        <a:stretch/>
      </xdr:blipFill>
      <xdr:spPr bwMode="auto">
        <a:xfrm>
          <a:off x="12322969" y="19800093"/>
          <a:ext cx="6643687" cy="30188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6"/>
  <sheetViews>
    <sheetView view="pageBreakPreview" topLeftCell="A45" zoomScale="110" zoomScaleNormal="100" zoomScaleSheetLayoutView="110" workbookViewId="0">
      <selection activeCell="W53" sqref="W53:Y53"/>
    </sheetView>
  </sheetViews>
  <sheetFormatPr defaultColWidth="3.54296875" defaultRowHeight="14.5" x14ac:dyDescent="0.35"/>
  <cols>
    <col min="1" max="1" width="3.54296875" style="28" customWidth="1"/>
    <col min="2" max="2" width="4.54296875" style="28" customWidth="1"/>
    <col min="3" max="14" width="3.54296875" style="28" customWidth="1"/>
    <col min="15" max="15" width="3.54296875" style="29" customWidth="1"/>
    <col min="16" max="27" width="3.54296875" style="28" customWidth="1"/>
    <col min="28" max="28" width="4.54296875" style="28" customWidth="1"/>
    <col min="29" max="92" width="3.54296875" style="28" customWidth="1"/>
    <col min="93" max="16384" width="3.54296875" style="28"/>
  </cols>
  <sheetData>
    <row r="1" spans="1:25" x14ac:dyDescent="0.35">
      <c r="E1" s="338" t="s">
        <v>225</v>
      </c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338"/>
      <c r="V1" s="338"/>
      <c r="W1" s="338"/>
      <c r="X1" s="338"/>
    </row>
    <row r="2" spans="1:25" x14ac:dyDescent="0.35">
      <c r="E2" s="338" t="s">
        <v>226</v>
      </c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</row>
    <row r="4" spans="1:25" ht="15" customHeight="1" x14ac:dyDescent="0.35">
      <c r="A4" s="344" t="s">
        <v>276</v>
      </c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</row>
    <row r="5" spans="1:25" ht="15" customHeight="1" x14ac:dyDescent="0.35">
      <c r="A5" s="344" t="s">
        <v>268</v>
      </c>
      <c r="B5" s="344"/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/>
      <c r="P5" s="344"/>
      <c r="Q5" s="344"/>
      <c r="R5" s="344"/>
      <c r="S5" s="344"/>
      <c r="T5" s="344"/>
      <c r="U5" s="344"/>
      <c r="V5" s="344"/>
      <c r="W5" s="344"/>
      <c r="X5" s="344"/>
      <c r="Y5" s="344"/>
    </row>
    <row r="6" spans="1:25" ht="15" customHeight="1" x14ac:dyDescent="0.35">
      <c r="A6" s="67"/>
      <c r="B6" s="114"/>
      <c r="C6" s="114"/>
      <c r="D6" s="114"/>
      <c r="E6" s="114"/>
      <c r="F6" s="1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67"/>
    </row>
    <row r="7" spans="1:25" s="70" customFormat="1" ht="15" customHeight="1" x14ac:dyDescent="0.3">
      <c r="A7" s="72" t="s">
        <v>136</v>
      </c>
      <c r="B7" s="72" t="s">
        <v>137</v>
      </c>
      <c r="C7" s="74"/>
      <c r="D7" s="74"/>
      <c r="E7" s="74"/>
      <c r="F7" s="74"/>
      <c r="G7" s="74"/>
      <c r="H7" s="74"/>
      <c r="J7" s="72" t="s">
        <v>10</v>
      </c>
      <c r="K7" s="74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</row>
    <row r="8" spans="1:25" s="70" customFormat="1" ht="15" customHeight="1" x14ac:dyDescent="0.3">
      <c r="A8" s="72"/>
      <c r="B8" s="74" t="s">
        <v>138</v>
      </c>
      <c r="C8" s="74"/>
      <c r="D8" s="74"/>
      <c r="E8" s="74"/>
      <c r="F8" s="74"/>
      <c r="G8" s="74"/>
      <c r="H8" s="74"/>
      <c r="I8" s="74"/>
      <c r="J8" s="74"/>
      <c r="K8" s="72" t="s">
        <v>10</v>
      </c>
      <c r="L8" s="180" t="s">
        <v>251</v>
      </c>
      <c r="M8" s="180"/>
      <c r="N8" s="180"/>
      <c r="O8" s="180"/>
      <c r="P8" s="180"/>
      <c r="Q8" s="180"/>
      <c r="R8" s="180"/>
      <c r="S8" s="66"/>
      <c r="T8" s="66"/>
      <c r="U8" s="66"/>
      <c r="V8" s="66"/>
      <c r="W8" s="66"/>
      <c r="X8" s="66"/>
    </row>
    <row r="9" spans="1:25" s="70" customFormat="1" ht="15" customHeight="1" x14ac:dyDescent="0.3">
      <c r="A9" s="72"/>
      <c r="B9" s="74" t="s">
        <v>139</v>
      </c>
      <c r="C9" s="74"/>
      <c r="D9" s="74"/>
      <c r="E9" s="74"/>
      <c r="F9" s="74"/>
      <c r="G9" s="74"/>
      <c r="H9" s="74"/>
      <c r="I9" s="74"/>
      <c r="J9" s="74"/>
      <c r="K9" s="72" t="s">
        <v>10</v>
      </c>
      <c r="L9" s="414"/>
      <c r="M9" s="414"/>
      <c r="N9" s="414"/>
      <c r="O9" s="414"/>
      <c r="P9" s="414"/>
      <c r="Q9" s="414"/>
      <c r="R9" s="414"/>
      <c r="S9" s="414"/>
      <c r="T9" s="75"/>
      <c r="U9" s="75"/>
      <c r="V9" s="75"/>
      <c r="W9" s="75"/>
      <c r="X9" s="75"/>
    </row>
    <row r="10" spans="1:25" s="70" customFormat="1" ht="15" customHeight="1" x14ac:dyDescent="0.3">
      <c r="A10" s="66"/>
      <c r="B10" s="66"/>
      <c r="O10" s="73"/>
    </row>
    <row r="11" spans="1:25" s="70" customFormat="1" ht="15" customHeight="1" x14ac:dyDescent="0.3">
      <c r="A11" s="72" t="s">
        <v>140</v>
      </c>
      <c r="B11" s="72" t="s">
        <v>141</v>
      </c>
      <c r="C11" s="72"/>
      <c r="D11" s="72"/>
      <c r="E11" s="72" t="s">
        <v>10</v>
      </c>
      <c r="F11" s="72"/>
      <c r="G11" s="72"/>
      <c r="H11" s="72"/>
      <c r="J11" s="74"/>
      <c r="K11" s="74"/>
      <c r="O11" s="73"/>
    </row>
    <row r="12" spans="1:25" s="70" customFormat="1" ht="15" customHeight="1" x14ac:dyDescent="0.3">
      <c r="A12" s="74"/>
      <c r="B12" s="76" t="s">
        <v>32</v>
      </c>
      <c r="C12" s="74" t="s">
        <v>142</v>
      </c>
      <c r="D12" s="74"/>
      <c r="E12" s="74"/>
      <c r="F12" s="74"/>
      <c r="G12" s="74"/>
      <c r="H12" s="74" t="s">
        <v>10</v>
      </c>
      <c r="I12" s="113" t="s">
        <v>252</v>
      </c>
      <c r="J12" s="113"/>
      <c r="K12" s="113"/>
      <c r="L12" s="111"/>
      <c r="M12" s="111"/>
      <c r="O12" s="73"/>
    </row>
    <row r="13" spans="1:25" s="70" customFormat="1" ht="15" customHeight="1" x14ac:dyDescent="0.3">
      <c r="A13" s="74"/>
      <c r="B13" s="76" t="s">
        <v>34</v>
      </c>
      <c r="C13" s="74" t="s">
        <v>143</v>
      </c>
      <c r="D13" s="74"/>
      <c r="E13" s="74"/>
      <c r="F13" s="74"/>
      <c r="G13" s="74"/>
      <c r="H13" s="74" t="s">
        <v>10</v>
      </c>
      <c r="I13" s="113" t="s">
        <v>253</v>
      </c>
      <c r="J13" s="113"/>
      <c r="K13" s="113"/>
      <c r="L13" s="111"/>
      <c r="M13" s="111"/>
      <c r="O13" s="73"/>
    </row>
    <row r="14" spans="1:25" s="70" customFormat="1" ht="15" customHeight="1" x14ac:dyDescent="0.3">
      <c r="A14" s="74"/>
      <c r="B14" s="76" t="s">
        <v>41</v>
      </c>
      <c r="C14" s="74" t="s">
        <v>144</v>
      </c>
      <c r="D14" s="74"/>
      <c r="E14" s="74"/>
      <c r="F14" s="74"/>
      <c r="G14" s="74"/>
      <c r="H14" s="74" t="s">
        <v>10</v>
      </c>
      <c r="I14" s="121" t="s">
        <v>254</v>
      </c>
      <c r="J14" s="113"/>
      <c r="K14" s="113"/>
      <c r="L14" s="111"/>
      <c r="M14" s="111"/>
      <c r="O14" s="73"/>
    </row>
    <row r="15" spans="1:25" s="70" customFormat="1" ht="15" customHeight="1" x14ac:dyDescent="0.3">
      <c r="A15" s="74"/>
      <c r="B15" s="76" t="s">
        <v>42</v>
      </c>
      <c r="C15" s="74" t="s">
        <v>59</v>
      </c>
      <c r="D15" s="74"/>
      <c r="E15" s="74"/>
      <c r="F15" s="74"/>
      <c r="G15" s="74"/>
      <c r="H15" s="74" t="s">
        <v>10</v>
      </c>
      <c r="I15" s="113" t="s">
        <v>255</v>
      </c>
      <c r="J15" s="113"/>
      <c r="K15" s="113"/>
      <c r="L15" s="111"/>
      <c r="M15" s="111"/>
      <c r="O15" s="73"/>
    </row>
    <row r="16" spans="1:25" s="70" customFormat="1" ht="15" customHeight="1" x14ac:dyDescent="0.3">
      <c r="A16" s="74"/>
      <c r="B16" s="76" t="s">
        <v>43</v>
      </c>
      <c r="C16" s="74" t="s">
        <v>162</v>
      </c>
      <c r="D16" s="74"/>
      <c r="E16" s="74"/>
      <c r="F16" s="74"/>
      <c r="G16" s="74"/>
      <c r="H16" s="74" t="s">
        <v>10</v>
      </c>
      <c r="I16" s="113" t="s">
        <v>256</v>
      </c>
      <c r="J16" s="113"/>
      <c r="K16" s="113"/>
      <c r="L16" s="111"/>
      <c r="M16" s="111"/>
      <c r="O16" s="73"/>
    </row>
    <row r="17" spans="1:24" s="70" customFormat="1" ht="15" customHeight="1" x14ac:dyDescent="0.3">
      <c r="A17" s="74"/>
      <c r="B17" s="76" t="s">
        <v>44</v>
      </c>
      <c r="C17" s="74" t="s">
        <v>3</v>
      </c>
      <c r="D17" s="74"/>
      <c r="E17" s="74"/>
      <c r="F17" s="74"/>
      <c r="G17" s="74"/>
      <c r="H17" s="74" t="s">
        <v>10</v>
      </c>
      <c r="I17" s="415" t="s">
        <v>257</v>
      </c>
      <c r="J17" s="415"/>
      <c r="K17" s="415"/>
      <c r="L17" s="415"/>
      <c r="M17" s="415"/>
      <c r="N17" s="73"/>
      <c r="T17" s="74"/>
      <c r="U17" s="74"/>
      <c r="V17" s="74"/>
      <c r="W17" s="74"/>
      <c r="X17" s="74"/>
    </row>
    <row r="18" spans="1:24" s="70" customFormat="1" ht="15" customHeight="1" x14ac:dyDescent="0.35">
      <c r="A18" s="74"/>
      <c r="B18" s="76">
        <v>8</v>
      </c>
      <c r="C18" s="74" t="s">
        <v>166</v>
      </c>
      <c r="D18" s="74"/>
      <c r="E18" s="74"/>
      <c r="F18" s="74"/>
      <c r="G18" s="74"/>
      <c r="H18" s="74" t="s">
        <v>10</v>
      </c>
      <c r="I18" s="242" t="s">
        <v>210</v>
      </c>
      <c r="J18" s="242"/>
      <c r="K18" s="113"/>
      <c r="L18" s="314"/>
      <c r="M18" s="314"/>
      <c r="N18" s="73"/>
      <c r="S18" s="416"/>
      <c r="T18" s="416"/>
      <c r="U18" s="416"/>
      <c r="V18" s="416"/>
      <c r="W18" s="74"/>
      <c r="X18" s="74"/>
    </row>
    <row r="19" spans="1:24" s="70" customFormat="1" ht="15" customHeight="1" x14ac:dyDescent="0.35">
      <c r="A19" s="74"/>
      <c r="B19" s="76">
        <v>9</v>
      </c>
      <c r="C19" s="74" t="s">
        <v>222</v>
      </c>
      <c r="D19" s="74"/>
      <c r="E19" s="74"/>
      <c r="F19" s="74"/>
      <c r="G19" s="74"/>
      <c r="H19" s="74" t="s">
        <v>10</v>
      </c>
      <c r="I19" s="315" t="s">
        <v>258</v>
      </c>
      <c r="J19" s="315"/>
      <c r="K19" s="315"/>
      <c r="L19" s="315"/>
      <c r="M19" s="314"/>
      <c r="N19" s="73"/>
      <c r="S19" s="45"/>
      <c r="T19" s="45"/>
      <c r="U19" s="45"/>
      <c r="V19" s="45"/>
      <c r="W19" s="74"/>
      <c r="X19" s="74"/>
    </row>
    <row r="20" spans="1:24" s="70" customFormat="1" ht="15" customHeight="1" x14ac:dyDescent="0.3">
      <c r="M20" s="73"/>
      <c r="N20" s="73"/>
    </row>
    <row r="21" spans="1:24" s="70" customFormat="1" ht="15" customHeight="1" x14ac:dyDescent="0.3">
      <c r="A21" s="72" t="s">
        <v>146</v>
      </c>
      <c r="B21" s="72" t="s">
        <v>147</v>
      </c>
      <c r="C21" s="72"/>
      <c r="D21" s="72"/>
      <c r="E21" s="72"/>
      <c r="F21" s="72"/>
      <c r="G21" s="72"/>
      <c r="H21" s="72" t="s">
        <v>10</v>
      </c>
      <c r="T21" s="73"/>
    </row>
    <row r="22" spans="1:24" s="70" customFormat="1" ht="15" customHeight="1" x14ac:dyDescent="0.3">
      <c r="B22" s="90" t="s">
        <v>51</v>
      </c>
      <c r="C22" s="345" t="s">
        <v>4</v>
      </c>
      <c r="D22" s="345"/>
      <c r="E22" s="345"/>
      <c r="F22" s="345"/>
      <c r="G22" s="345"/>
      <c r="H22" s="345"/>
      <c r="I22" s="345"/>
      <c r="J22" s="345"/>
      <c r="K22" s="345" t="s">
        <v>0</v>
      </c>
      <c r="L22" s="345"/>
      <c r="M22" s="345"/>
      <c r="N22" s="345"/>
      <c r="O22" s="345"/>
      <c r="P22" s="345" t="s">
        <v>1</v>
      </c>
      <c r="Q22" s="345"/>
      <c r="R22" s="345"/>
      <c r="S22" s="345"/>
      <c r="T22" s="345" t="s">
        <v>56</v>
      </c>
      <c r="U22" s="345"/>
      <c r="V22" s="345"/>
      <c r="W22" s="345"/>
      <c r="X22" s="345"/>
    </row>
    <row r="23" spans="1:24" s="70" customFormat="1" ht="15" customHeight="1" x14ac:dyDescent="0.3">
      <c r="B23" s="80">
        <v>1</v>
      </c>
      <c r="C23" s="371" t="s">
        <v>233</v>
      </c>
      <c r="D23" s="371"/>
      <c r="E23" s="371"/>
      <c r="F23" s="371"/>
      <c r="G23" s="371"/>
      <c r="H23" s="371"/>
      <c r="I23" s="371"/>
      <c r="J23" s="371"/>
      <c r="K23" s="372" t="s">
        <v>234</v>
      </c>
      <c r="L23" s="372"/>
      <c r="M23" s="372"/>
      <c r="N23" s="372"/>
      <c r="O23" s="372"/>
      <c r="P23" s="373" t="s">
        <v>237</v>
      </c>
      <c r="Q23" s="373"/>
      <c r="R23" s="373"/>
      <c r="S23" s="373"/>
      <c r="T23" s="374">
        <v>21110978</v>
      </c>
      <c r="U23" s="374"/>
      <c r="V23" s="374"/>
      <c r="W23" s="374"/>
      <c r="X23" s="374"/>
    </row>
    <row r="24" spans="1:24" s="70" customFormat="1" ht="15" customHeight="1" x14ac:dyDescent="0.3">
      <c r="B24" s="84">
        <f>B23+1</f>
        <v>2</v>
      </c>
      <c r="C24" s="334" t="s">
        <v>57</v>
      </c>
      <c r="D24" s="334"/>
      <c r="E24" s="334"/>
      <c r="F24" s="334"/>
      <c r="G24" s="334"/>
      <c r="H24" s="334"/>
      <c r="I24" s="334"/>
      <c r="J24" s="334"/>
      <c r="K24" s="375" t="s">
        <v>105</v>
      </c>
      <c r="L24" s="375"/>
      <c r="M24" s="375"/>
      <c r="N24" s="375"/>
      <c r="O24" s="375"/>
      <c r="P24" s="335" t="s">
        <v>107</v>
      </c>
      <c r="Q24" s="335"/>
      <c r="R24" s="335"/>
      <c r="S24" s="335"/>
      <c r="T24" s="336">
        <v>4427051</v>
      </c>
      <c r="U24" s="336"/>
      <c r="V24" s="336"/>
      <c r="W24" s="336"/>
      <c r="X24" s="336"/>
    </row>
    <row r="25" spans="1:24" s="70" customFormat="1" ht="15" customHeight="1" x14ac:dyDescent="0.3">
      <c r="B25" s="84">
        <v>3</v>
      </c>
      <c r="C25" s="334" t="s">
        <v>64</v>
      </c>
      <c r="D25" s="334"/>
      <c r="E25" s="334"/>
      <c r="F25" s="334"/>
      <c r="G25" s="334"/>
      <c r="H25" s="334"/>
      <c r="I25" s="334"/>
      <c r="J25" s="334"/>
      <c r="K25" s="335" t="str">
        <f>VLOOKUP(T25,'serti thermohygro'!E8:G17,2,FALSE)</f>
        <v>BK Precision</v>
      </c>
      <c r="L25" s="335"/>
      <c r="M25" s="335"/>
      <c r="N25" s="335"/>
      <c r="O25" s="335"/>
      <c r="P25" s="335">
        <f>VLOOKUP(T25,'serti thermohygro'!E8:G17,3,FALSE)</f>
        <v>725</v>
      </c>
      <c r="Q25" s="335"/>
      <c r="R25" s="335"/>
      <c r="S25" s="335"/>
      <c r="T25" s="336" t="s">
        <v>265</v>
      </c>
      <c r="U25" s="336"/>
      <c r="V25" s="336"/>
      <c r="W25" s="336"/>
      <c r="X25" s="336"/>
    </row>
    <row r="26" spans="1:24" s="70" customFormat="1" ht="15" customHeight="1" x14ac:dyDescent="0.3">
      <c r="B26" s="84">
        <v>4</v>
      </c>
      <c r="C26" s="334" t="s">
        <v>277</v>
      </c>
      <c r="D26" s="334"/>
      <c r="E26" s="334"/>
      <c r="F26" s="334"/>
      <c r="G26" s="334"/>
      <c r="H26" s="334"/>
      <c r="I26" s="334"/>
      <c r="J26" s="334"/>
      <c r="K26" s="335" t="s">
        <v>220</v>
      </c>
      <c r="L26" s="335"/>
      <c r="M26" s="335"/>
      <c r="N26" s="335"/>
      <c r="O26" s="335"/>
      <c r="P26" s="335" t="s">
        <v>220</v>
      </c>
      <c r="Q26" s="335"/>
      <c r="R26" s="335"/>
      <c r="S26" s="335"/>
      <c r="T26" s="336" t="s">
        <v>220</v>
      </c>
      <c r="U26" s="336"/>
      <c r="V26" s="336"/>
      <c r="W26" s="336"/>
      <c r="X26" s="336"/>
    </row>
    <row r="27" spans="1:24" s="70" customFormat="1" ht="15" customHeight="1" x14ac:dyDescent="0.3">
      <c r="A27" s="66" t="s">
        <v>148</v>
      </c>
      <c r="B27" s="66" t="s">
        <v>149</v>
      </c>
      <c r="C27" s="74"/>
      <c r="D27" s="74"/>
      <c r="E27" s="74"/>
      <c r="F27" s="74"/>
      <c r="G27" s="74"/>
      <c r="H27" s="74"/>
      <c r="I27" s="72" t="s">
        <v>10</v>
      </c>
      <c r="M27" s="73"/>
      <c r="N27" s="73"/>
    </row>
    <row r="28" spans="1:24" s="70" customFormat="1" ht="15" customHeight="1" x14ac:dyDescent="0.3">
      <c r="B28" s="90" t="s">
        <v>51</v>
      </c>
      <c r="C28" s="381" t="s">
        <v>38</v>
      </c>
      <c r="D28" s="382"/>
      <c r="E28" s="382"/>
      <c r="F28" s="382"/>
      <c r="G28" s="382"/>
      <c r="H28" s="382"/>
      <c r="I28" s="382"/>
      <c r="J28" s="383"/>
      <c r="K28" s="381" t="s">
        <v>40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2"/>
      <c r="V28" s="382"/>
      <c r="W28" s="382"/>
      <c r="X28" s="383"/>
    </row>
    <row r="29" spans="1:24" s="70" customFormat="1" ht="15" customHeight="1" x14ac:dyDescent="0.3">
      <c r="B29" s="80">
        <v>1</v>
      </c>
      <c r="C29" s="417" t="s">
        <v>60</v>
      </c>
      <c r="D29" s="418"/>
      <c r="E29" s="418"/>
      <c r="F29" s="418"/>
      <c r="G29" s="418"/>
      <c r="H29" s="418"/>
      <c r="I29" s="418"/>
      <c r="J29" s="419"/>
      <c r="K29" s="81" t="s">
        <v>7</v>
      </c>
      <c r="L29" s="82"/>
      <c r="M29" s="82" t="s">
        <v>10</v>
      </c>
      <c r="N29" s="420">
        <v>26.5</v>
      </c>
      <c r="O29" s="420"/>
      <c r="P29" s="82" t="s">
        <v>61</v>
      </c>
      <c r="Q29" s="82"/>
      <c r="R29" s="81" t="s">
        <v>8</v>
      </c>
      <c r="S29" s="82"/>
      <c r="T29" s="82" t="s">
        <v>10</v>
      </c>
      <c r="U29" s="380">
        <v>26.7</v>
      </c>
      <c r="V29" s="380"/>
      <c r="W29" s="82" t="s">
        <v>61</v>
      </c>
      <c r="X29" s="83"/>
    </row>
    <row r="30" spans="1:24" s="70" customFormat="1" ht="15" customHeight="1" x14ac:dyDescent="0.3">
      <c r="B30" s="84">
        <f>B29+1</f>
        <v>2</v>
      </c>
      <c r="C30" s="376" t="s">
        <v>62</v>
      </c>
      <c r="D30" s="377"/>
      <c r="E30" s="377"/>
      <c r="F30" s="377"/>
      <c r="G30" s="377"/>
      <c r="H30" s="377"/>
      <c r="I30" s="377"/>
      <c r="J30" s="378"/>
      <c r="K30" s="85" t="s">
        <v>7</v>
      </c>
      <c r="L30" s="86"/>
      <c r="M30" s="86" t="s">
        <v>10</v>
      </c>
      <c r="N30" s="379">
        <v>68.900000000000006</v>
      </c>
      <c r="O30" s="379"/>
      <c r="P30" s="86" t="s">
        <v>128</v>
      </c>
      <c r="Q30" s="86"/>
      <c r="R30" s="85" t="s">
        <v>8</v>
      </c>
      <c r="S30" s="86"/>
      <c r="T30" s="86" t="s">
        <v>10</v>
      </c>
      <c r="U30" s="379">
        <v>68.7</v>
      </c>
      <c r="V30" s="379"/>
      <c r="W30" s="86" t="s">
        <v>128</v>
      </c>
      <c r="X30" s="87"/>
    </row>
    <row r="31" spans="1:24" s="70" customFormat="1" ht="15" customHeight="1" x14ac:dyDescent="0.3">
      <c r="B31" s="84">
        <f>B30+1</f>
        <v>3</v>
      </c>
      <c r="C31" s="376" t="s">
        <v>58</v>
      </c>
      <c r="D31" s="377"/>
      <c r="E31" s="377"/>
      <c r="F31" s="377"/>
      <c r="G31" s="377"/>
      <c r="H31" s="377"/>
      <c r="I31" s="377"/>
      <c r="J31" s="378"/>
      <c r="K31" s="85"/>
      <c r="L31" s="86"/>
      <c r="M31" s="86"/>
      <c r="N31" s="347">
        <v>220.4</v>
      </c>
      <c r="O31" s="347"/>
      <c r="P31" s="86" t="s">
        <v>45</v>
      </c>
      <c r="Q31" s="86"/>
      <c r="R31" s="85"/>
      <c r="S31" s="86"/>
      <c r="T31" s="86"/>
      <c r="U31" s="348" t="s">
        <v>80</v>
      </c>
      <c r="V31" s="348"/>
      <c r="W31" s="86"/>
      <c r="X31" s="87"/>
    </row>
    <row r="32" spans="1:24" s="70" customFormat="1" ht="15" customHeight="1" x14ac:dyDescent="0.3">
      <c r="T32" s="73"/>
    </row>
    <row r="33" spans="1:44" s="88" customFormat="1" ht="15" customHeight="1" x14ac:dyDescent="0.3">
      <c r="A33" s="71" t="s">
        <v>150</v>
      </c>
      <c r="B33" s="71" t="s">
        <v>151</v>
      </c>
      <c r="C33" s="74"/>
      <c r="D33" s="74"/>
      <c r="E33" s="74"/>
      <c r="F33" s="74"/>
      <c r="G33" s="74"/>
      <c r="H33" s="74"/>
      <c r="I33" s="74"/>
      <c r="J33" s="74"/>
      <c r="K33" s="74"/>
      <c r="L33" s="66" t="s">
        <v>10</v>
      </c>
      <c r="T33" s="89"/>
    </row>
    <row r="34" spans="1:44" s="91" customFormat="1" ht="26.25" customHeight="1" x14ac:dyDescent="0.35">
      <c r="B34" s="90" t="s">
        <v>51</v>
      </c>
      <c r="C34" s="343" t="s">
        <v>38</v>
      </c>
      <c r="D34" s="343"/>
      <c r="E34" s="343"/>
      <c r="F34" s="343"/>
      <c r="G34" s="343"/>
      <c r="H34" s="343" t="s">
        <v>65</v>
      </c>
      <c r="I34" s="343"/>
      <c r="J34" s="343"/>
      <c r="K34" s="343"/>
      <c r="L34" s="343"/>
      <c r="M34" s="343"/>
      <c r="N34" s="343"/>
      <c r="O34" s="343"/>
      <c r="P34" s="343"/>
      <c r="Q34" s="343"/>
      <c r="R34" s="343"/>
      <c r="S34" s="343"/>
      <c r="T34" s="343"/>
      <c r="U34" s="339" t="s">
        <v>66</v>
      </c>
      <c r="V34" s="339"/>
      <c r="W34" s="339"/>
      <c r="X34" s="339"/>
    </row>
    <row r="35" spans="1:44" s="91" customFormat="1" ht="40" customHeight="1" x14ac:dyDescent="0.35">
      <c r="B35" s="105">
        <v>1</v>
      </c>
      <c r="C35" s="362" t="s">
        <v>67</v>
      </c>
      <c r="D35" s="363"/>
      <c r="E35" s="363"/>
      <c r="F35" s="363"/>
      <c r="G35" s="364"/>
      <c r="H35" s="365" t="s">
        <v>68</v>
      </c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366"/>
      <c r="T35" s="367"/>
      <c r="U35" s="368">
        <v>1</v>
      </c>
      <c r="V35" s="369"/>
      <c r="W35" s="369"/>
      <c r="X35" s="370"/>
    </row>
    <row r="36" spans="1:44" s="88" customFormat="1" ht="55" customHeight="1" x14ac:dyDescent="0.35">
      <c r="B36" s="104">
        <f>B35+1</f>
        <v>2</v>
      </c>
      <c r="C36" s="346" t="s">
        <v>69</v>
      </c>
      <c r="D36" s="346"/>
      <c r="E36" s="346"/>
      <c r="F36" s="346"/>
      <c r="G36" s="346"/>
      <c r="H36" s="346" t="s">
        <v>70</v>
      </c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9">
        <v>1</v>
      </c>
      <c r="V36" s="349"/>
      <c r="W36" s="349"/>
      <c r="X36" s="349"/>
    </row>
    <row r="37" spans="1:44" s="88" customFormat="1" ht="30" customHeight="1" x14ac:dyDescent="0.35">
      <c r="B37" s="104">
        <f>B36+1</f>
        <v>3</v>
      </c>
      <c r="C37" s="346" t="s">
        <v>71</v>
      </c>
      <c r="D37" s="346"/>
      <c r="E37" s="346"/>
      <c r="F37" s="346"/>
      <c r="G37" s="346"/>
      <c r="H37" s="346" t="s">
        <v>72</v>
      </c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9">
        <v>1</v>
      </c>
      <c r="V37" s="349"/>
      <c r="W37" s="349"/>
      <c r="X37" s="349"/>
    </row>
    <row r="38" spans="1:44" s="88" customFormat="1" ht="31.5" customHeight="1" x14ac:dyDescent="0.35">
      <c r="B38" s="104">
        <v>4</v>
      </c>
      <c r="C38" s="346" t="s">
        <v>227</v>
      </c>
      <c r="D38" s="346"/>
      <c r="E38" s="346"/>
      <c r="F38" s="346"/>
      <c r="G38" s="346"/>
      <c r="H38" s="346" t="s">
        <v>228</v>
      </c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9">
        <v>1</v>
      </c>
      <c r="V38" s="349"/>
      <c r="W38" s="349"/>
      <c r="X38" s="349"/>
    </row>
    <row r="39" spans="1:44" s="88" customFormat="1" ht="27.75" customHeight="1" x14ac:dyDescent="0.35">
      <c r="B39" s="104">
        <v>5</v>
      </c>
      <c r="C39" s="346" t="s">
        <v>269</v>
      </c>
      <c r="D39" s="346"/>
      <c r="E39" s="346"/>
      <c r="F39" s="346"/>
      <c r="G39" s="346"/>
      <c r="H39" s="346" t="s">
        <v>270</v>
      </c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9">
        <v>1</v>
      </c>
      <c r="V39" s="349"/>
      <c r="W39" s="349"/>
      <c r="X39" s="349"/>
    </row>
    <row r="40" spans="1:44" s="88" customFormat="1" ht="32.25" customHeight="1" x14ac:dyDescent="0.35">
      <c r="B40" s="104">
        <v>6</v>
      </c>
      <c r="C40" s="346" t="s">
        <v>271</v>
      </c>
      <c r="D40" s="346"/>
      <c r="E40" s="346"/>
      <c r="F40" s="346"/>
      <c r="G40" s="346"/>
      <c r="H40" s="346" t="s">
        <v>272</v>
      </c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9">
        <v>1</v>
      </c>
      <c r="V40" s="349"/>
      <c r="W40" s="349"/>
      <c r="X40" s="349"/>
    </row>
    <row r="41" spans="1:44" s="88" customFormat="1" ht="40.5" customHeight="1" x14ac:dyDescent="0.35">
      <c r="B41" s="104">
        <v>7</v>
      </c>
      <c r="C41" s="346" t="s">
        <v>273</v>
      </c>
      <c r="D41" s="346"/>
      <c r="E41" s="346"/>
      <c r="F41" s="346"/>
      <c r="G41" s="346"/>
      <c r="H41" s="346" t="s">
        <v>274</v>
      </c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9">
        <v>1</v>
      </c>
      <c r="V41" s="349"/>
      <c r="W41" s="349"/>
      <c r="X41" s="349"/>
    </row>
    <row r="42" spans="1:44" s="88" customFormat="1" ht="15" customHeight="1" x14ac:dyDescent="0.35">
      <c r="B42" s="99"/>
      <c r="C42" s="93"/>
      <c r="D42" s="93"/>
      <c r="E42" s="93"/>
      <c r="F42" s="93"/>
      <c r="G42" s="93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94"/>
      <c r="V42" s="95"/>
      <c r="W42" s="95"/>
      <c r="X42" s="95"/>
      <c r="AA42" s="91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107"/>
      <c r="AP42" s="107"/>
      <c r="AQ42" s="107"/>
      <c r="AR42" s="107"/>
    </row>
    <row r="43" spans="1:44" s="70" customFormat="1" ht="15" customHeight="1" x14ac:dyDescent="0.35">
      <c r="A43" s="65" t="s">
        <v>152</v>
      </c>
      <c r="B43" s="65" t="s">
        <v>48</v>
      </c>
      <c r="C43"/>
      <c r="D43"/>
      <c r="E43"/>
      <c r="F43"/>
      <c r="G43"/>
      <c r="H43"/>
      <c r="I43"/>
      <c r="J43" t="s">
        <v>10</v>
      </c>
      <c r="O43" s="73"/>
      <c r="AA43" s="88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2"/>
      <c r="AP43" s="102"/>
      <c r="AQ43" s="102"/>
      <c r="AR43" s="102"/>
    </row>
    <row r="44" spans="1:44" s="70" customFormat="1" ht="15" customHeight="1" x14ac:dyDescent="0.3">
      <c r="B44" s="90" t="s">
        <v>51</v>
      </c>
      <c r="C44" s="408" t="s">
        <v>38</v>
      </c>
      <c r="D44" s="409"/>
      <c r="E44" s="409"/>
      <c r="F44" s="409"/>
      <c r="G44" s="409"/>
      <c r="H44" s="409"/>
      <c r="I44" s="409"/>
      <c r="J44" s="409"/>
      <c r="K44" s="409"/>
      <c r="L44" s="410"/>
      <c r="M44" s="408" t="s">
        <v>112</v>
      </c>
      <c r="N44" s="409"/>
      <c r="O44" s="409"/>
      <c r="P44" s="409"/>
      <c r="Q44" s="410"/>
      <c r="R44" s="358" t="s">
        <v>39</v>
      </c>
      <c r="S44" s="359"/>
      <c r="T44" s="359"/>
      <c r="U44" s="360"/>
      <c r="AA44" s="88"/>
      <c r="AB44" s="101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2"/>
      <c r="AP44" s="102"/>
      <c r="AQ44" s="102"/>
      <c r="AR44" s="102"/>
    </row>
    <row r="45" spans="1:44" s="70" customFormat="1" ht="15" customHeight="1" x14ac:dyDescent="0.35">
      <c r="B45" s="68">
        <v>1</v>
      </c>
      <c r="C45" s="411" t="s">
        <v>153</v>
      </c>
      <c r="D45" s="412"/>
      <c r="E45" s="412"/>
      <c r="F45" s="412"/>
      <c r="G45" s="412"/>
      <c r="H45" s="412"/>
      <c r="I45" s="412"/>
      <c r="J45" s="412"/>
      <c r="K45" s="412"/>
      <c r="L45" s="413"/>
      <c r="M45" s="406" t="s">
        <v>220</v>
      </c>
      <c r="N45" s="407"/>
      <c r="O45" s="407"/>
      <c r="P45" s="353" t="s">
        <v>154</v>
      </c>
      <c r="Q45" s="354"/>
      <c r="R45" s="350" t="s">
        <v>155</v>
      </c>
      <c r="S45" s="351"/>
      <c r="T45" s="351"/>
      <c r="U45" s="352"/>
      <c r="AA45" s="88"/>
      <c r="AB45" s="101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2"/>
      <c r="AP45" s="102"/>
      <c r="AQ45" s="102"/>
      <c r="AR45" s="102"/>
    </row>
    <row r="46" spans="1:44" s="70" customFormat="1" ht="15" customHeight="1" x14ac:dyDescent="0.35">
      <c r="B46" s="68">
        <v>2</v>
      </c>
      <c r="C46" s="411" t="s">
        <v>156</v>
      </c>
      <c r="D46" s="412"/>
      <c r="E46" s="412"/>
      <c r="F46" s="412"/>
      <c r="G46" s="412"/>
      <c r="H46" s="412"/>
      <c r="I46" s="412"/>
      <c r="J46" s="412"/>
      <c r="K46" s="412"/>
      <c r="L46" s="413"/>
      <c r="M46" s="406">
        <v>12.4</v>
      </c>
      <c r="N46" s="407"/>
      <c r="O46" s="407"/>
      <c r="P46" s="353" t="s">
        <v>85</v>
      </c>
      <c r="Q46" s="354"/>
      <c r="R46" s="350" t="s">
        <v>108</v>
      </c>
      <c r="S46" s="351"/>
      <c r="T46" s="351"/>
      <c r="U46" s="352"/>
      <c r="AA46" s="88"/>
      <c r="AB46" s="101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2"/>
      <c r="AP46" s="102"/>
      <c r="AQ46" s="102"/>
      <c r="AR46" s="102"/>
    </row>
    <row r="47" spans="1:44" s="70" customFormat="1" ht="15" customHeight="1" x14ac:dyDescent="0.35">
      <c r="B47" s="68">
        <v>3</v>
      </c>
      <c r="C47" s="411" t="s">
        <v>109</v>
      </c>
      <c r="D47" s="412"/>
      <c r="E47" s="412"/>
      <c r="F47" s="412"/>
      <c r="G47" s="412"/>
      <c r="H47" s="412"/>
      <c r="I47" s="412"/>
      <c r="J47" s="412"/>
      <c r="K47" s="412"/>
      <c r="L47" s="413"/>
      <c r="M47" s="406" t="s">
        <v>212</v>
      </c>
      <c r="N47" s="407"/>
      <c r="O47" s="407"/>
      <c r="P47" s="353" t="s">
        <v>110</v>
      </c>
      <c r="Q47" s="354"/>
      <c r="R47" s="350" t="s">
        <v>111</v>
      </c>
      <c r="S47" s="351"/>
      <c r="T47" s="351"/>
      <c r="U47" s="352"/>
      <c r="AA47" s="88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2"/>
      <c r="AP47" s="102"/>
      <c r="AQ47" s="102"/>
      <c r="AR47" s="102"/>
    </row>
    <row r="48" spans="1:44" s="70" customFormat="1" ht="15" customHeight="1" x14ac:dyDescent="0.3"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T48" s="96"/>
      <c r="U48" s="109"/>
      <c r="V48" s="109"/>
      <c r="AA48" s="88"/>
      <c r="AB48" s="101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2"/>
      <c r="AP48" s="102"/>
      <c r="AQ48" s="102"/>
      <c r="AR48" s="102"/>
    </row>
    <row r="49" spans="1:44" s="70" customFormat="1" ht="15" customHeight="1" x14ac:dyDescent="0.35">
      <c r="A49" s="65" t="s">
        <v>157</v>
      </c>
      <c r="B49" s="65" t="s">
        <v>158</v>
      </c>
      <c r="C49"/>
      <c r="D49"/>
      <c r="E49"/>
      <c r="F49"/>
      <c r="G49"/>
      <c r="H49" t="s">
        <v>10</v>
      </c>
      <c r="O49" s="73"/>
      <c r="AA49" s="88"/>
      <c r="AB49" s="101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2"/>
      <c r="AP49" s="102"/>
      <c r="AQ49" s="102"/>
      <c r="AR49" s="102"/>
    </row>
    <row r="50" spans="1:44" s="70" customFormat="1" ht="15" customHeight="1" x14ac:dyDescent="0.3">
      <c r="B50" s="97" t="s">
        <v>124</v>
      </c>
      <c r="C50" s="97" t="s">
        <v>229</v>
      </c>
      <c r="D50" s="97"/>
      <c r="E50" s="97"/>
      <c r="F50" s="97"/>
      <c r="G50" s="97"/>
      <c r="I50" s="79"/>
      <c r="O50" s="391"/>
      <c r="P50" s="391"/>
      <c r="R50" s="79"/>
      <c r="AA50" s="88"/>
      <c r="AB50" s="101"/>
      <c r="AC50" s="108"/>
      <c r="AD50" s="108"/>
      <c r="AE50" s="108"/>
      <c r="AF50" s="108"/>
      <c r="AP50" s="102"/>
      <c r="AQ50" s="102"/>
      <c r="AR50" s="102"/>
    </row>
    <row r="51" spans="1:44" s="88" customFormat="1" ht="15" customHeight="1" x14ac:dyDescent="0.3">
      <c r="B51" s="386" t="s">
        <v>37</v>
      </c>
      <c r="C51" s="388" t="s">
        <v>231</v>
      </c>
      <c r="D51" s="389"/>
      <c r="E51" s="389"/>
      <c r="F51" s="389"/>
      <c r="G51" s="390"/>
      <c r="H51" s="343" t="s">
        <v>230</v>
      </c>
      <c r="I51" s="343"/>
      <c r="J51" s="343"/>
      <c r="K51" s="343"/>
      <c r="L51" s="343"/>
      <c r="M51" s="343"/>
      <c r="N51" s="343"/>
      <c r="O51" s="343"/>
      <c r="P51" s="343"/>
      <c r="Q51" s="343"/>
      <c r="R51" s="343"/>
      <c r="S51" s="343"/>
      <c r="T51" s="343"/>
      <c r="U51" s="343"/>
      <c r="V51" s="343"/>
      <c r="W51" s="343"/>
      <c r="X51" s="343"/>
      <c r="Y51" s="343"/>
      <c r="Z51" s="327" t="s">
        <v>46</v>
      </c>
      <c r="AA51" s="328"/>
      <c r="AB51" s="329"/>
      <c r="AC51" s="108"/>
      <c r="AD51" s="108"/>
      <c r="AE51" s="108"/>
      <c r="AF51" s="108"/>
      <c r="AP51" s="102"/>
      <c r="AQ51" s="102"/>
      <c r="AR51" s="102"/>
    </row>
    <row r="52" spans="1:44" s="88" customFormat="1" ht="15" customHeight="1" x14ac:dyDescent="0.3">
      <c r="B52" s="387"/>
      <c r="C52" s="355" t="s">
        <v>232</v>
      </c>
      <c r="D52" s="356"/>
      <c r="E52" s="356"/>
      <c r="F52" s="356"/>
      <c r="G52" s="357"/>
      <c r="H52" s="358">
        <v>1</v>
      </c>
      <c r="I52" s="359"/>
      <c r="J52" s="360"/>
      <c r="K52" s="358">
        <v>2</v>
      </c>
      <c r="L52" s="359"/>
      <c r="M52" s="360"/>
      <c r="N52" s="339">
        <v>3</v>
      </c>
      <c r="O52" s="339"/>
      <c r="P52" s="339"/>
      <c r="Q52" s="339">
        <v>4</v>
      </c>
      <c r="R52" s="339"/>
      <c r="S52" s="339"/>
      <c r="T52" s="339">
        <v>5</v>
      </c>
      <c r="U52" s="339"/>
      <c r="V52" s="339"/>
      <c r="W52" s="339">
        <v>6</v>
      </c>
      <c r="X52" s="339"/>
      <c r="Y52" s="339"/>
      <c r="Z52" s="330" t="s">
        <v>232</v>
      </c>
      <c r="AA52" s="331"/>
      <c r="AB52" s="332"/>
      <c r="AC52" s="108"/>
      <c r="AD52" s="108"/>
      <c r="AE52" s="108"/>
      <c r="AF52" s="108"/>
      <c r="AP52" s="102"/>
      <c r="AQ52" s="102"/>
      <c r="AR52" s="102"/>
    </row>
    <row r="53" spans="1:44" s="88" customFormat="1" ht="15" customHeight="1" x14ac:dyDescent="0.3">
      <c r="B53" s="241">
        <v>1</v>
      </c>
      <c r="C53" s="358" t="s">
        <v>103</v>
      </c>
      <c r="D53" s="359"/>
      <c r="E53" s="359"/>
      <c r="F53" s="359"/>
      <c r="G53" s="360"/>
      <c r="H53" s="340">
        <v>10230</v>
      </c>
      <c r="I53" s="341"/>
      <c r="J53" s="342"/>
      <c r="K53" s="340">
        <v>10230</v>
      </c>
      <c r="L53" s="341"/>
      <c r="M53" s="342"/>
      <c r="N53" s="340">
        <v>10230</v>
      </c>
      <c r="O53" s="341"/>
      <c r="P53" s="342"/>
      <c r="Q53" s="340">
        <v>10230</v>
      </c>
      <c r="R53" s="341"/>
      <c r="S53" s="342"/>
      <c r="T53" s="340">
        <v>10230</v>
      </c>
      <c r="U53" s="341"/>
      <c r="V53" s="342"/>
      <c r="W53" s="340">
        <v>10230</v>
      </c>
      <c r="X53" s="341"/>
      <c r="Y53" s="342"/>
      <c r="Z53" s="333" t="s">
        <v>241</v>
      </c>
      <c r="AA53" s="333"/>
      <c r="AB53" s="333"/>
      <c r="AC53" s="108"/>
      <c r="AD53" s="108"/>
      <c r="AE53" s="108"/>
      <c r="AF53" s="108"/>
      <c r="AP53" s="102"/>
      <c r="AQ53" s="102"/>
      <c r="AR53" s="102"/>
    </row>
    <row r="54" spans="1:44" s="88" customFormat="1" ht="15" customHeight="1" x14ac:dyDescent="0.3">
      <c r="Q54" s="107"/>
      <c r="R54" s="107"/>
      <c r="S54" s="107"/>
      <c r="T54" s="107"/>
      <c r="AB54" s="101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2"/>
      <c r="AP54" s="102"/>
      <c r="AQ54" s="102"/>
      <c r="AR54" s="102"/>
    </row>
    <row r="55" spans="1:44" s="70" customFormat="1" ht="15" customHeight="1" x14ac:dyDescent="0.3">
      <c r="A55" s="66"/>
      <c r="B55" s="252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  <c r="N55" s="253"/>
      <c r="O55" s="253"/>
      <c r="P55" s="253"/>
      <c r="Q55" s="253"/>
      <c r="R55" s="253"/>
      <c r="S55" s="254"/>
      <c r="T55" s="254"/>
      <c r="U55" s="255"/>
      <c r="V55" s="256"/>
      <c r="W55" s="256"/>
      <c r="X55" s="256"/>
      <c r="Y55" s="262"/>
      <c r="Z55" s="262"/>
      <c r="AA55" s="262"/>
      <c r="AB55" s="262"/>
    </row>
    <row r="56" spans="1:44" s="70" customFormat="1" ht="15" customHeight="1" x14ac:dyDescent="0.3">
      <c r="A56" s="66"/>
      <c r="B56" s="384"/>
      <c r="C56" s="384"/>
      <c r="D56" s="384"/>
      <c r="E56" s="384"/>
      <c r="F56" s="384"/>
      <c r="G56" s="384"/>
      <c r="H56" s="384"/>
      <c r="I56" s="384"/>
      <c r="J56" s="384"/>
      <c r="K56" s="384"/>
      <c r="L56" s="384"/>
      <c r="M56" s="384"/>
      <c r="N56" s="384"/>
      <c r="O56" s="384"/>
      <c r="P56" s="384"/>
      <c r="Q56" s="384"/>
      <c r="R56" s="384"/>
      <c r="S56" s="384"/>
      <c r="T56" s="384"/>
      <c r="U56" s="257"/>
      <c r="V56" s="257"/>
      <c r="W56" s="257"/>
      <c r="X56" s="257"/>
      <c r="Y56" s="262"/>
      <c r="Z56" s="262"/>
      <c r="AA56" s="262"/>
      <c r="AB56" s="262"/>
    </row>
    <row r="57" spans="1:44" s="70" customFormat="1" ht="15" customHeight="1" x14ac:dyDescent="0.3">
      <c r="A57" s="66"/>
      <c r="B57" s="384"/>
      <c r="C57" s="384"/>
      <c r="D57" s="384"/>
      <c r="E57" s="384"/>
      <c r="F57" s="384"/>
      <c r="G57" s="384"/>
      <c r="H57" s="385"/>
      <c r="I57" s="385"/>
      <c r="J57" s="385"/>
      <c r="K57" s="385"/>
      <c r="L57" s="385"/>
      <c r="M57" s="385"/>
      <c r="N57" s="385"/>
      <c r="O57" s="385"/>
      <c r="P57" s="385"/>
      <c r="Q57" s="384"/>
      <c r="R57" s="384"/>
      <c r="S57" s="384"/>
      <c r="T57" s="384"/>
      <c r="U57" s="257"/>
      <c r="V57" s="257"/>
      <c r="W57" s="257"/>
      <c r="X57" s="257"/>
      <c r="Y57" s="262"/>
      <c r="Z57" s="262"/>
      <c r="AA57" s="262"/>
      <c r="AB57" s="262"/>
    </row>
    <row r="58" spans="1:44" s="70" customFormat="1" ht="15" customHeight="1" x14ac:dyDescent="0.3">
      <c r="A58" s="66"/>
      <c r="B58" s="392"/>
      <c r="C58" s="392"/>
      <c r="D58" s="392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2"/>
      <c r="Q58" s="393"/>
      <c r="R58" s="393"/>
      <c r="S58" s="394"/>
      <c r="T58" s="394"/>
      <c r="U58" s="258"/>
      <c r="V58" s="258"/>
      <c r="W58" s="258"/>
      <c r="X58" s="258"/>
      <c r="Y58" s="262"/>
      <c r="Z58" s="262"/>
      <c r="AA58" s="262"/>
      <c r="AB58" s="262"/>
    </row>
    <row r="59" spans="1:44" s="70" customFormat="1" ht="15" customHeight="1" x14ac:dyDescent="0.3">
      <c r="A59" s="66"/>
      <c r="B59" s="392"/>
      <c r="C59" s="392"/>
      <c r="D59" s="392"/>
      <c r="E59" s="392"/>
      <c r="F59" s="392"/>
      <c r="G59" s="392"/>
      <c r="H59" s="392"/>
      <c r="I59" s="392"/>
      <c r="J59" s="392"/>
      <c r="K59" s="392"/>
      <c r="L59" s="392"/>
      <c r="M59" s="392"/>
      <c r="N59" s="392"/>
      <c r="O59" s="392"/>
      <c r="P59" s="392"/>
      <c r="Q59" s="393"/>
      <c r="R59" s="393"/>
      <c r="S59" s="394"/>
      <c r="T59" s="394"/>
      <c r="U59" s="258"/>
      <c r="V59" s="258"/>
      <c r="W59" s="258"/>
      <c r="X59" s="258"/>
      <c r="Y59" s="262"/>
      <c r="Z59" s="262"/>
      <c r="AA59" s="262"/>
      <c r="AB59" s="262"/>
    </row>
    <row r="60" spans="1:44" s="70" customFormat="1" ht="15" customHeight="1" x14ac:dyDescent="0.3">
      <c r="A60" s="66"/>
      <c r="B60" s="392"/>
      <c r="C60" s="392"/>
      <c r="D60" s="392"/>
      <c r="E60" s="392"/>
      <c r="F60" s="392"/>
      <c r="G60" s="392"/>
      <c r="H60" s="392"/>
      <c r="I60" s="392"/>
      <c r="J60" s="392"/>
      <c r="K60" s="392"/>
      <c r="L60" s="392"/>
      <c r="M60" s="392"/>
      <c r="N60" s="392"/>
      <c r="O60" s="392"/>
      <c r="P60" s="392"/>
      <c r="Q60" s="393"/>
      <c r="R60" s="393"/>
      <c r="S60" s="394"/>
      <c r="T60" s="394"/>
      <c r="U60" s="258"/>
      <c r="V60" s="258"/>
      <c r="W60" s="258"/>
      <c r="X60" s="258"/>
      <c r="Y60" s="262"/>
      <c r="Z60" s="262"/>
      <c r="AA60" s="262"/>
      <c r="AB60" s="262"/>
    </row>
    <row r="61" spans="1:44" s="70" customFormat="1" ht="15" customHeight="1" x14ac:dyDescent="0.3">
      <c r="A61" s="66"/>
      <c r="B61" s="392"/>
      <c r="C61" s="392"/>
      <c r="D61" s="392"/>
      <c r="E61" s="392"/>
      <c r="F61" s="392"/>
      <c r="G61" s="392"/>
      <c r="H61" s="392"/>
      <c r="I61" s="392"/>
      <c r="J61" s="392"/>
      <c r="K61" s="392"/>
      <c r="L61" s="392"/>
      <c r="M61" s="392"/>
      <c r="N61" s="392"/>
      <c r="O61" s="392"/>
      <c r="P61" s="392"/>
      <c r="Q61" s="393"/>
      <c r="R61" s="393"/>
      <c r="S61" s="394"/>
      <c r="T61" s="394"/>
      <c r="U61" s="258"/>
      <c r="V61" s="258"/>
      <c r="W61" s="258"/>
      <c r="X61" s="258"/>
      <c r="Y61" s="262"/>
      <c r="Z61" s="262"/>
      <c r="AA61" s="262"/>
      <c r="AB61" s="262"/>
    </row>
    <row r="62" spans="1:44" s="70" customFormat="1" ht="15" customHeight="1" x14ac:dyDescent="0.3">
      <c r="A62" s="66"/>
      <c r="B62" s="259"/>
      <c r="C62" s="259"/>
      <c r="D62" s="259"/>
      <c r="E62" s="259"/>
      <c r="F62" s="259"/>
      <c r="G62" s="259"/>
      <c r="H62" s="259"/>
      <c r="I62" s="259"/>
      <c r="J62" s="259"/>
      <c r="K62" s="259"/>
      <c r="L62" s="259"/>
      <c r="M62" s="259"/>
      <c r="N62" s="259"/>
      <c r="O62" s="259"/>
      <c r="P62" s="259"/>
      <c r="Q62" s="254"/>
      <c r="R62" s="254"/>
      <c r="S62" s="254"/>
      <c r="T62" s="254"/>
      <c r="U62" s="255"/>
      <c r="V62" s="256"/>
      <c r="W62" s="256"/>
      <c r="X62" s="256"/>
      <c r="Y62" s="262"/>
      <c r="Z62" s="262"/>
      <c r="AA62" s="262"/>
      <c r="AB62" s="262"/>
    </row>
    <row r="63" spans="1:44" s="70" customFormat="1" ht="15" customHeight="1" x14ac:dyDescent="0.3">
      <c r="A63" s="66"/>
      <c r="B63" s="259"/>
      <c r="C63" s="253"/>
      <c r="D63" s="253"/>
      <c r="E63" s="253"/>
      <c r="F63" s="253"/>
      <c r="G63" s="253"/>
      <c r="H63" s="253"/>
      <c r="I63" s="253"/>
      <c r="J63" s="253"/>
      <c r="K63" s="253"/>
      <c r="L63" s="253"/>
      <c r="M63" s="253"/>
      <c r="N63" s="253"/>
      <c r="O63" s="253"/>
      <c r="P63" s="253"/>
      <c r="Q63" s="253"/>
      <c r="R63" s="253"/>
      <c r="S63" s="253"/>
      <c r="T63" s="254"/>
      <c r="U63" s="255"/>
      <c r="V63" s="256"/>
      <c r="W63" s="256"/>
      <c r="X63" s="256"/>
      <c r="Y63" s="262"/>
      <c r="Z63" s="262"/>
      <c r="AA63" s="262"/>
      <c r="AB63" s="262"/>
    </row>
    <row r="64" spans="1:44" s="70" customFormat="1" ht="15" customHeight="1" x14ac:dyDescent="0.3">
      <c r="A64" s="66"/>
      <c r="B64" s="384"/>
      <c r="C64" s="384"/>
      <c r="D64" s="384"/>
      <c r="E64" s="384"/>
      <c r="F64" s="384"/>
      <c r="G64" s="384"/>
      <c r="H64" s="384"/>
      <c r="I64" s="384"/>
      <c r="J64" s="384"/>
      <c r="K64" s="384"/>
      <c r="L64" s="384"/>
      <c r="M64" s="384"/>
      <c r="N64" s="384"/>
      <c r="O64" s="384"/>
      <c r="P64" s="384"/>
      <c r="Q64" s="384"/>
      <c r="R64" s="384"/>
      <c r="S64" s="384"/>
      <c r="T64" s="384"/>
      <c r="U64" s="257"/>
      <c r="V64" s="257"/>
      <c r="W64" s="257"/>
      <c r="X64" s="257"/>
      <c r="Y64" s="262"/>
      <c r="Z64" s="262"/>
      <c r="AA64" s="262"/>
      <c r="AB64" s="262"/>
    </row>
    <row r="65" spans="1:28" s="70" customFormat="1" ht="15" customHeight="1" x14ac:dyDescent="0.3">
      <c r="A65" s="66"/>
      <c r="B65" s="384"/>
      <c r="C65" s="384"/>
      <c r="D65" s="384"/>
      <c r="E65" s="384"/>
      <c r="F65" s="384"/>
      <c r="G65" s="384"/>
      <c r="H65" s="384"/>
      <c r="I65" s="384"/>
      <c r="J65" s="384"/>
      <c r="K65" s="384"/>
      <c r="L65" s="384"/>
      <c r="M65" s="384"/>
      <c r="N65" s="384"/>
      <c r="O65" s="384"/>
      <c r="P65" s="384"/>
      <c r="Q65" s="384"/>
      <c r="R65" s="384"/>
      <c r="S65" s="384"/>
      <c r="T65" s="384"/>
      <c r="U65" s="257"/>
      <c r="V65" s="257"/>
      <c r="W65" s="257"/>
      <c r="X65" s="257"/>
      <c r="Y65" s="262"/>
      <c r="Z65" s="262"/>
      <c r="AA65" s="262"/>
      <c r="AB65" s="262"/>
    </row>
    <row r="66" spans="1:28" s="70" customFormat="1" ht="15" customHeight="1" x14ac:dyDescent="0.3">
      <c r="A66" s="66"/>
      <c r="B66" s="257"/>
      <c r="C66" s="257"/>
      <c r="D66" s="257"/>
      <c r="E66" s="257"/>
      <c r="F66" s="257"/>
      <c r="G66" s="257"/>
      <c r="H66" s="260"/>
      <c r="I66" s="260"/>
      <c r="J66" s="260"/>
      <c r="K66" s="384"/>
      <c r="L66" s="384"/>
      <c r="M66" s="384"/>
      <c r="N66" s="384"/>
      <c r="O66" s="384"/>
      <c r="P66" s="384"/>
      <c r="Q66" s="396"/>
      <c r="R66" s="396"/>
      <c r="S66" s="397"/>
      <c r="T66" s="397"/>
      <c r="U66" s="258"/>
      <c r="V66" s="258"/>
      <c r="W66" s="258"/>
      <c r="X66" s="258"/>
      <c r="Y66" s="262"/>
      <c r="Z66" s="262"/>
      <c r="AA66" s="262"/>
      <c r="AB66" s="262"/>
    </row>
    <row r="67" spans="1:28" s="70" customFormat="1" ht="15" customHeight="1" x14ac:dyDescent="0.3">
      <c r="A67" s="66"/>
      <c r="B67" s="384"/>
      <c r="C67" s="384"/>
      <c r="D67" s="384"/>
      <c r="E67" s="384"/>
      <c r="F67" s="384"/>
      <c r="G67" s="384"/>
      <c r="H67" s="395"/>
      <c r="I67" s="395"/>
      <c r="J67" s="395"/>
      <c r="K67" s="395"/>
      <c r="L67" s="395"/>
      <c r="M67" s="395"/>
      <c r="N67" s="395"/>
      <c r="O67" s="395"/>
      <c r="P67" s="395"/>
      <c r="Q67" s="396"/>
      <c r="R67" s="396"/>
      <c r="S67" s="397"/>
      <c r="T67" s="397"/>
      <c r="U67" s="258"/>
      <c r="V67" s="258"/>
      <c r="W67" s="258"/>
      <c r="X67" s="258"/>
      <c r="Y67" s="262"/>
      <c r="Z67" s="262"/>
      <c r="AA67" s="262"/>
      <c r="AB67" s="262"/>
    </row>
    <row r="68" spans="1:28" s="70" customFormat="1" ht="15" customHeight="1" x14ac:dyDescent="0.3">
      <c r="A68" s="66"/>
      <c r="B68" s="384"/>
      <c r="C68" s="384"/>
      <c r="D68" s="384"/>
      <c r="E68" s="384"/>
      <c r="F68" s="384"/>
      <c r="G68" s="384"/>
      <c r="H68" s="395"/>
      <c r="I68" s="395"/>
      <c r="J68" s="395"/>
      <c r="K68" s="395"/>
      <c r="L68" s="395"/>
      <c r="M68" s="395"/>
      <c r="N68" s="395"/>
      <c r="O68" s="395"/>
      <c r="P68" s="395"/>
      <c r="Q68" s="396"/>
      <c r="R68" s="396"/>
      <c r="S68" s="397"/>
      <c r="T68" s="397"/>
      <c r="U68" s="255"/>
      <c r="V68" s="256"/>
      <c r="W68" s="256"/>
      <c r="X68" s="256"/>
      <c r="Y68" s="262"/>
      <c r="Z68" s="262"/>
      <c r="AA68" s="262"/>
      <c r="AB68" s="262"/>
    </row>
    <row r="69" spans="1:28" s="70" customFormat="1" ht="15" customHeight="1" x14ac:dyDescent="0.3">
      <c r="A69" s="66"/>
      <c r="B69" s="259"/>
      <c r="C69" s="259"/>
      <c r="D69" s="259"/>
      <c r="E69" s="259"/>
      <c r="F69" s="259"/>
      <c r="G69" s="259"/>
      <c r="H69" s="260"/>
      <c r="I69" s="260"/>
      <c r="J69" s="260"/>
      <c r="K69" s="260"/>
      <c r="L69" s="260"/>
      <c r="M69" s="260"/>
      <c r="N69" s="260"/>
      <c r="O69" s="260"/>
      <c r="P69" s="260"/>
      <c r="Q69" s="254"/>
      <c r="R69" s="254"/>
      <c r="S69" s="254"/>
      <c r="T69" s="254"/>
      <c r="U69" s="255"/>
      <c r="V69" s="256"/>
      <c r="W69" s="256"/>
      <c r="X69" s="256"/>
      <c r="Y69" s="262"/>
      <c r="Z69" s="262"/>
      <c r="AA69" s="262"/>
      <c r="AB69" s="262"/>
    </row>
    <row r="70" spans="1:28" s="70" customFormat="1" ht="15" customHeight="1" x14ac:dyDescent="0.3">
      <c r="A70" s="66"/>
      <c r="B70" s="263"/>
      <c r="C70" s="253"/>
      <c r="D70" s="253"/>
      <c r="E70" s="253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4"/>
      <c r="R70" s="254"/>
      <c r="S70" s="254"/>
      <c r="T70" s="254"/>
      <c r="U70" s="255"/>
      <c r="V70" s="256"/>
      <c r="W70" s="256"/>
      <c r="X70" s="256"/>
      <c r="Y70" s="262"/>
      <c r="Z70" s="262"/>
      <c r="AA70" s="262"/>
      <c r="AB70" s="262"/>
    </row>
    <row r="71" spans="1:28" s="70" customFormat="1" ht="15" customHeight="1" x14ac:dyDescent="0.3">
      <c r="A71" s="66"/>
      <c r="B71" s="253"/>
      <c r="C71" s="253"/>
      <c r="D71" s="253"/>
      <c r="E71" s="253"/>
      <c r="F71" s="253"/>
      <c r="G71" s="253"/>
      <c r="H71" s="253"/>
      <c r="I71" s="253"/>
      <c r="J71" s="253"/>
      <c r="K71" s="253"/>
      <c r="L71" s="259"/>
      <c r="M71" s="259"/>
      <c r="N71" s="259"/>
      <c r="O71" s="259"/>
      <c r="P71" s="259"/>
      <c r="Q71" s="254"/>
      <c r="R71" s="254"/>
      <c r="S71" s="254"/>
      <c r="T71" s="254"/>
      <c r="U71" s="255"/>
      <c r="V71" s="256"/>
      <c r="W71" s="256"/>
      <c r="X71" s="256"/>
      <c r="Y71" s="262"/>
      <c r="Z71" s="262"/>
      <c r="AA71" s="262"/>
      <c r="AB71" s="262"/>
    </row>
    <row r="72" spans="1:28" s="70" customFormat="1" ht="15" customHeight="1" x14ac:dyDescent="0.3">
      <c r="A72" s="66"/>
      <c r="B72" s="253"/>
      <c r="C72" s="253"/>
      <c r="D72" s="253"/>
      <c r="E72" s="253"/>
      <c r="F72" s="259"/>
      <c r="G72" s="259"/>
      <c r="H72" s="259"/>
      <c r="I72" s="259"/>
      <c r="J72" s="259"/>
      <c r="K72" s="259"/>
      <c r="L72" s="259"/>
      <c r="M72" s="259"/>
      <c r="N72" s="259"/>
      <c r="O72" s="259"/>
      <c r="P72" s="259"/>
      <c r="Q72" s="262"/>
      <c r="R72" s="262"/>
      <c r="S72" s="262"/>
      <c r="T72" s="262"/>
      <c r="U72" s="262"/>
      <c r="V72" s="337"/>
      <c r="W72" s="337"/>
      <c r="X72" s="262"/>
      <c r="Y72" s="262"/>
      <c r="Z72" s="262"/>
      <c r="AA72" s="262"/>
      <c r="AB72" s="262"/>
    </row>
    <row r="73" spans="1:28" s="70" customFormat="1" ht="15" customHeight="1" x14ac:dyDescent="0.3">
      <c r="A73" s="66"/>
      <c r="B73" s="392"/>
      <c r="C73" s="392"/>
      <c r="D73" s="392"/>
      <c r="E73" s="392"/>
      <c r="F73" s="392"/>
      <c r="G73" s="392"/>
      <c r="H73" s="392"/>
      <c r="I73" s="392"/>
      <c r="J73" s="392"/>
      <c r="K73" s="392"/>
      <c r="L73" s="392"/>
      <c r="M73" s="392"/>
      <c r="N73" s="392"/>
      <c r="O73" s="392"/>
      <c r="P73" s="392"/>
      <c r="Q73" s="392"/>
      <c r="R73" s="392"/>
      <c r="S73" s="392"/>
      <c r="T73" s="392"/>
      <c r="U73" s="392"/>
      <c r="V73" s="337"/>
      <c r="W73" s="337"/>
      <c r="X73" s="337"/>
      <c r="Y73" s="262"/>
      <c r="Z73" s="262"/>
      <c r="AA73" s="262"/>
      <c r="AB73" s="262"/>
    </row>
    <row r="74" spans="1:28" s="70" customFormat="1" ht="15" customHeight="1" x14ac:dyDescent="0.3">
      <c r="A74" s="66"/>
      <c r="B74" s="392"/>
      <c r="C74" s="384"/>
      <c r="D74" s="384"/>
      <c r="E74" s="384"/>
      <c r="F74" s="384"/>
      <c r="G74" s="384"/>
      <c r="H74" s="392"/>
      <c r="I74" s="392"/>
      <c r="J74" s="392"/>
      <c r="K74" s="392"/>
      <c r="L74" s="392"/>
      <c r="M74" s="392"/>
      <c r="N74" s="392"/>
      <c r="O74" s="392"/>
      <c r="P74" s="392"/>
      <c r="Q74" s="392"/>
      <c r="R74" s="392"/>
      <c r="S74" s="392"/>
      <c r="T74" s="392"/>
      <c r="U74" s="392"/>
      <c r="V74" s="337"/>
      <c r="W74" s="337"/>
      <c r="X74" s="337"/>
      <c r="Y74" s="262"/>
      <c r="Z74" s="262"/>
      <c r="AA74" s="262"/>
      <c r="AB74" s="262"/>
    </row>
    <row r="75" spans="1:28" s="70" customFormat="1" ht="15" customHeight="1" x14ac:dyDescent="0.3">
      <c r="A75" s="66"/>
      <c r="B75" s="259"/>
      <c r="C75" s="392"/>
      <c r="D75" s="392"/>
      <c r="E75" s="392"/>
      <c r="F75" s="392"/>
      <c r="G75" s="392"/>
      <c r="H75" s="392"/>
      <c r="I75" s="392"/>
      <c r="J75" s="398"/>
      <c r="K75" s="398"/>
      <c r="L75" s="398"/>
      <c r="M75" s="398"/>
      <c r="N75" s="398"/>
      <c r="O75" s="398"/>
      <c r="P75" s="398"/>
      <c r="Q75" s="398"/>
      <c r="R75" s="398"/>
      <c r="S75" s="398"/>
      <c r="T75" s="398"/>
      <c r="U75" s="398"/>
      <c r="V75" s="393"/>
      <c r="W75" s="394"/>
      <c r="X75" s="394"/>
      <c r="Y75" s="262"/>
      <c r="Z75" s="262"/>
      <c r="AA75" s="262"/>
      <c r="AB75" s="262"/>
    </row>
    <row r="76" spans="1:28" s="70" customFormat="1" ht="15" customHeight="1" x14ac:dyDescent="0.3">
      <c r="A76" s="66"/>
      <c r="B76" s="259"/>
      <c r="C76" s="392"/>
      <c r="D76" s="392"/>
      <c r="E76" s="392"/>
      <c r="F76" s="392"/>
      <c r="G76" s="392"/>
      <c r="H76" s="392"/>
      <c r="I76" s="392"/>
      <c r="J76" s="398"/>
      <c r="K76" s="398"/>
      <c r="L76" s="398"/>
      <c r="M76" s="398"/>
      <c r="N76" s="398"/>
      <c r="O76" s="398"/>
      <c r="P76" s="398"/>
      <c r="Q76" s="398"/>
      <c r="R76" s="398"/>
      <c r="S76" s="398"/>
      <c r="T76" s="398"/>
      <c r="U76" s="398"/>
      <c r="V76" s="393"/>
      <c r="W76" s="394"/>
      <c r="X76" s="394"/>
      <c r="Y76" s="262"/>
      <c r="Z76" s="262"/>
      <c r="AA76" s="262"/>
      <c r="AB76" s="262"/>
    </row>
    <row r="77" spans="1:28" s="70" customFormat="1" ht="15" customHeight="1" x14ac:dyDescent="0.3">
      <c r="A77" s="66"/>
      <c r="B77" s="259"/>
      <c r="C77" s="392"/>
      <c r="D77" s="392"/>
      <c r="E77" s="392"/>
      <c r="F77" s="392"/>
      <c r="G77" s="392"/>
      <c r="H77" s="392"/>
      <c r="I77" s="392"/>
      <c r="J77" s="398"/>
      <c r="K77" s="398"/>
      <c r="L77" s="398"/>
      <c r="M77" s="398"/>
      <c r="N77" s="398"/>
      <c r="O77" s="398"/>
      <c r="P77" s="398"/>
      <c r="Q77" s="398"/>
      <c r="R77" s="398"/>
      <c r="S77" s="398"/>
      <c r="T77" s="398"/>
      <c r="U77" s="398"/>
      <c r="V77" s="393"/>
      <c r="W77" s="394"/>
      <c r="X77" s="394"/>
      <c r="Y77" s="262"/>
      <c r="Z77" s="262"/>
      <c r="AA77" s="262"/>
      <c r="AB77" s="262"/>
    </row>
    <row r="78" spans="1:28" s="70" customFormat="1" ht="15" customHeight="1" x14ac:dyDescent="0.3">
      <c r="A78" s="66"/>
      <c r="B78" s="259"/>
      <c r="C78" s="392"/>
      <c r="D78" s="392"/>
      <c r="E78" s="392"/>
      <c r="F78" s="392"/>
      <c r="G78" s="392"/>
      <c r="H78" s="392"/>
      <c r="I78" s="392"/>
      <c r="J78" s="398"/>
      <c r="K78" s="398"/>
      <c r="L78" s="398"/>
      <c r="M78" s="398"/>
      <c r="N78" s="398"/>
      <c r="O78" s="398"/>
      <c r="P78" s="398"/>
      <c r="Q78" s="398"/>
      <c r="R78" s="398"/>
      <c r="S78" s="398"/>
      <c r="T78" s="398"/>
      <c r="U78" s="398"/>
      <c r="V78" s="393"/>
      <c r="W78" s="394"/>
      <c r="X78" s="394"/>
      <c r="Y78" s="262"/>
      <c r="Z78" s="262"/>
      <c r="AA78" s="262"/>
      <c r="AB78" s="262"/>
    </row>
    <row r="79" spans="1:28" s="70" customFormat="1" ht="15" customHeight="1" x14ac:dyDescent="0.3">
      <c r="A79" s="66"/>
      <c r="B79" s="259"/>
      <c r="C79" s="392"/>
      <c r="D79" s="392"/>
      <c r="E79" s="392"/>
      <c r="F79" s="392"/>
      <c r="G79" s="392"/>
      <c r="H79" s="392"/>
      <c r="I79" s="392"/>
      <c r="J79" s="398"/>
      <c r="K79" s="398"/>
      <c r="L79" s="398"/>
      <c r="M79" s="398"/>
      <c r="N79" s="398"/>
      <c r="O79" s="398"/>
      <c r="P79" s="398"/>
      <c r="Q79" s="398"/>
      <c r="R79" s="398"/>
      <c r="S79" s="398"/>
      <c r="T79" s="398"/>
      <c r="U79" s="398"/>
      <c r="V79" s="264"/>
      <c r="W79" s="399"/>
      <c r="X79" s="399"/>
      <c r="Y79" s="262"/>
      <c r="Z79" s="262"/>
      <c r="AA79" s="262"/>
      <c r="AB79" s="262"/>
    </row>
    <row r="80" spans="1:28" s="70" customFormat="1" ht="15" customHeight="1" x14ac:dyDescent="0.3">
      <c r="A80" s="66"/>
      <c r="B80" s="259"/>
      <c r="C80" s="392"/>
      <c r="D80" s="392"/>
      <c r="E80" s="392"/>
      <c r="F80" s="392"/>
      <c r="G80" s="392"/>
      <c r="H80" s="392"/>
      <c r="I80" s="392"/>
      <c r="J80" s="398"/>
      <c r="K80" s="398"/>
      <c r="L80" s="398"/>
      <c r="M80" s="398"/>
      <c r="N80" s="398"/>
      <c r="O80" s="398"/>
      <c r="P80" s="398"/>
      <c r="Q80" s="398"/>
      <c r="R80" s="398"/>
      <c r="S80" s="398"/>
      <c r="T80" s="398"/>
      <c r="U80" s="398"/>
      <c r="V80" s="393"/>
      <c r="W80" s="394"/>
      <c r="X80" s="394"/>
      <c r="Y80" s="262"/>
      <c r="Z80" s="262"/>
      <c r="AA80" s="262"/>
      <c r="AB80" s="262"/>
    </row>
    <row r="81" spans="1:28" s="70" customFormat="1" ht="15" customHeight="1" x14ac:dyDescent="0.3">
      <c r="A81" s="66"/>
      <c r="B81" s="259"/>
      <c r="C81" s="392"/>
      <c r="D81" s="392"/>
      <c r="E81" s="392"/>
      <c r="F81" s="392"/>
      <c r="G81" s="392"/>
      <c r="H81" s="392"/>
      <c r="I81" s="392"/>
      <c r="J81" s="398"/>
      <c r="K81" s="398"/>
      <c r="L81" s="398"/>
      <c r="M81" s="398"/>
      <c r="N81" s="398"/>
      <c r="O81" s="398"/>
      <c r="P81" s="398"/>
      <c r="Q81" s="398"/>
      <c r="R81" s="398"/>
      <c r="S81" s="398"/>
      <c r="T81" s="398"/>
      <c r="U81" s="398"/>
      <c r="V81" s="393"/>
      <c r="W81" s="394"/>
      <c r="X81" s="394"/>
      <c r="Y81" s="262"/>
      <c r="Z81" s="262"/>
      <c r="AA81" s="262"/>
      <c r="AB81" s="262"/>
    </row>
    <row r="82" spans="1:28" s="70" customFormat="1" ht="15" customHeight="1" x14ac:dyDescent="0.3">
      <c r="A82" s="66"/>
      <c r="B82" s="259"/>
      <c r="C82" s="392"/>
      <c r="D82" s="392"/>
      <c r="E82" s="392"/>
      <c r="F82" s="392"/>
      <c r="G82" s="392"/>
      <c r="H82" s="392"/>
      <c r="I82" s="392"/>
      <c r="J82" s="398"/>
      <c r="K82" s="398"/>
      <c r="L82" s="398"/>
      <c r="M82" s="398"/>
      <c r="N82" s="398"/>
      <c r="O82" s="398"/>
      <c r="P82" s="398"/>
      <c r="Q82" s="398"/>
      <c r="R82" s="398"/>
      <c r="S82" s="398"/>
      <c r="T82" s="398"/>
      <c r="U82" s="398"/>
      <c r="V82" s="393"/>
      <c r="W82" s="394"/>
      <c r="X82" s="394"/>
      <c r="Y82" s="262"/>
      <c r="Z82" s="262"/>
      <c r="AA82" s="262"/>
      <c r="AB82" s="262"/>
    </row>
    <row r="83" spans="1:28" s="70" customFormat="1" ht="15" customHeight="1" x14ac:dyDescent="0.3">
      <c r="A83" s="66"/>
      <c r="B83" s="259"/>
      <c r="C83" s="392"/>
      <c r="D83" s="392"/>
      <c r="E83" s="392"/>
      <c r="F83" s="392"/>
      <c r="G83" s="392"/>
      <c r="H83" s="392"/>
      <c r="I83" s="392"/>
      <c r="J83" s="398"/>
      <c r="K83" s="398"/>
      <c r="L83" s="398"/>
      <c r="M83" s="398"/>
      <c r="N83" s="398"/>
      <c r="O83" s="398"/>
      <c r="P83" s="398"/>
      <c r="Q83" s="398"/>
      <c r="R83" s="398"/>
      <c r="S83" s="398"/>
      <c r="T83" s="398"/>
      <c r="U83" s="398"/>
      <c r="V83" s="393"/>
      <c r="W83" s="394"/>
      <c r="X83" s="394"/>
      <c r="Y83" s="262"/>
      <c r="Z83" s="262"/>
      <c r="AA83" s="262"/>
      <c r="AB83" s="262"/>
    </row>
    <row r="84" spans="1:28" s="70" customFormat="1" ht="15" customHeight="1" x14ac:dyDescent="0.3">
      <c r="A84" s="66"/>
      <c r="B84" s="259"/>
      <c r="C84" s="392"/>
      <c r="D84" s="392"/>
      <c r="E84" s="392"/>
      <c r="F84" s="392"/>
      <c r="G84" s="392"/>
      <c r="H84" s="392"/>
      <c r="I84" s="392"/>
      <c r="J84" s="398"/>
      <c r="K84" s="398"/>
      <c r="L84" s="398"/>
      <c r="M84" s="398"/>
      <c r="N84" s="398"/>
      <c r="O84" s="398"/>
      <c r="P84" s="398"/>
      <c r="Q84" s="398"/>
      <c r="R84" s="398"/>
      <c r="S84" s="398"/>
      <c r="T84" s="398"/>
      <c r="U84" s="398"/>
      <c r="V84" s="264"/>
      <c r="W84" s="399"/>
      <c r="X84" s="399"/>
      <c r="Y84" s="262"/>
      <c r="Z84" s="262"/>
      <c r="AA84" s="262"/>
      <c r="AB84" s="262"/>
    </row>
    <row r="85" spans="1:28" s="70" customFormat="1" ht="15" customHeight="1" x14ac:dyDescent="0.3">
      <c r="A85" s="66"/>
      <c r="B85" s="253"/>
      <c r="C85" s="392"/>
      <c r="D85" s="392"/>
      <c r="E85" s="392"/>
      <c r="F85" s="392"/>
      <c r="G85" s="392"/>
      <c r="H85" s="392"/>
      <c r="I85" s="392"/>
      <c r="J85" s="392"/>
      <c r="K85" s="392"/>
      <c r="L85" s="392"/>
      <c r="M85" s="392"/>
      <c r="N85" s="392"/>
      <c r="O85" s="392"/>
      <c r="P85" s="392"/>
      <c r="Q85" s="392"/>
      <c r="R85" s="400"/>
      <c r="S85" s="400"/>
      <c r="T85" s="400"/>
      <c r="U85" s="400"/>
      <c r="V85" s="337"/>
      <c r="W85" s="337"/>
      <c r="X85" s="337"/>
      <c r="Y85" s="262"/>
      <c r="Z85" s="262"/>
      <c r="AA85" s="262"/>
      <c r="AB85" s="262"/>
    </row>
    <row r="86" spans="1:28" s="70" customFormat="1" ht="15" customHeight="1" x14ac:dyDescent="0.3">
      <c r="A86" s="66"/>
      <c r="B86" s="253"/>
      <c r="C86" s="253"/>
      <c r="D86" s="253"/>
      <c r="E86" s="253"/>
      <c r="F86" s="259"/>
      <c r="G86" s="259"/>
      <c r="H86" s="259"/>
      <c r="I86" s="259"/>
      <c r="J86" s="259"/>
      <c r="K86" s="259"/>
      <c r="L86" s="259"/>
      <c r="M86" s="259"/>
      <c r="N86" s="259"/>
      <c r="O86" s="252"/>
      <c r="P86" s="259"/>
      <c r="Q86" s="262"/>
      <c r="R86" s="262"/>
      <c r="S86" s="262"/>
      <c r="T86" s="262"/>
      <c r="U86" s="337"/>
      <c r="V86" s="337"/>
      <c r="W86" s="256"/>
      <c r="X86" s="256"/>
      <c r="Y86" s="262"/>
      <c r="Z86" s="262"/>
      <c r="AA86" s="262"/>
      <c r="AB86" s="262"/>
    </row>
    <row r="87" spans="1:28" s="70" customFormat="1" ht="15" customHeight="1" x14ac:dyDescent="0.3">
      <c r="A87" s="66"/>
      <c r="B87" s="392"/>
      <c r="C87" s="392"/>
      <c r="D87" s="392"/>
      <c r="E87" s="392"/>
      <c r="F87" s="392"/>
      <c r="G87" s="392"/>
      <c r="H87" s="392"/>
      <c r="I87" s="392"/>
      <c r="J87" s="392"/>
      <c r="K87" s="392"/>
      <c r="L87" s="392"/>
      <c r="M87" s="392"/>
      <c r="N87" s="401"/>
      <c r="O87" s="401"/>
      <c r="P87" s="401"/>
      <c r="Q87" s="401"/>
      <c r="R87" s="401"/>
      <c r="S87" s="401"/>
      <c r="T87" s="392"/>
      <c r="U87" s="392"/>
      <c r="V87" s="392"/>
      <c r="W87" s="392"/>
      <c r="X87" s="392"/>
      <c r="Y87" s="262"/>
      <c r="Z87" s="262"/>
      <c r="AA87" s="262"/>
      <c r="AB87" s="262"/>
    </row>
    <row r="88" spans="1:28" s="70" customFormat="1" ht="15" customHeight="1" x14ac:dyDescent="0.3">
      <c r="A88" s="66"/>
      <c r="B88" s="392"/>
      <c r="C88" s="392"/>
      <c r="D88" s="392"/>
      <c r="E88" s="392"/>
      <c r="F88" s="392"/>
      <c r="G88" s="392"/>
      <c r="H88" s="392"/>
      <c r="I88" s="392"/>
      <c r="J88" s="392"/>
      <c r="K88" s="392"/>
      <c r="L88" s="392"/>
      <c r="M88" s="392"/>
      <c r="N88" s="392"/>
      <c r="O88" s="392"/>
      <c r="P88" s="392"/>
      <c r="Q88" s="392"/>
      <c r="R88" s="392"/>
      <c r="S88" s="392"/>
      <c r="T88" s="392"/>
      <c r="U88" s="392"/>
      <c r="V88" s="392"/>
      <c r="W88" s="392"/>
      <c r="X88" s="392"/>
      <c r="Y88" s="262"/>
      <c r="Z88" s="262"/>
      <c r="AA88" s="262"/>
      <c r="AB88" s="262"/>
    </row>
    <row r="89" spans="1:28" s="70" customFormat="1" ht="15" customHeight="1" x14ac:dyDescent="0.3">
      <c r="A89" s="66"/>
      <c r="B89" s="392"/>
      <c r="C89" s="392"/>
      <c r="D89" s="392"/>
      <c r="E89" s="392"/>
      <c r="F89" s="392"/>
      <c r="G89" s="392"/>
      <c r="H89" s="392"/>
      <c r="I89" s="392"/>
      <c r="J89" s="392"/>
      <c r="K89" s="392"/>
      <c r="L89" s="392"/>
      <c r="M89" s="392"/>
      <c r="N89" s="392"/>
      <c r="O89" s="392"/>
      <c r="P89" s="392"/>
      <c r="Q89" s="392"/>
      <c r="R89" s="392"/>
      <c r="S89" s="392"/>
      <c r="T89" s="400"/>
      <c r="U89" s="400"/>
      <c r="V89" s="400"/>
      <c r="W89" s="400"/>
      <c r="X89" s="400"/>
      <c r="Y89" s="262"/>
      <c r="Z89" s="262"/>
      <c r="AA89" s="262"/>
      <c r="AB89" s="262"/>
    </row>
    <row r="90" spans="1:28" s="70" customFormat="1" ht="15" customHeight="1" x14ac:dyDescent="0.3">
      <c r="A90" s="66"/>
      <c r="B90" s="259"/>
      <c r="C90" s="384"/>
      <c r="D90" s="384"/>
      <c r="E90" s="384"/>
      <c r="F90" s="384"/>
      <c r="G90" s="384"/>
      <c r="H90" s="402"/>
      <c r="I90" s="402"/>
      <c r="J90" s="402"/>
      <c r="K90" s="402"/>
      <c r="L90" s="402"/>
      <c r="M90" s="402"/>
      <c r="N90" s="402"/>
      <c r="O90" s="402"/>
      <c r="P90" s="402"/>
      <c r="Q90" s="402"/>
      <c r="R90" s="402"/>
      <c r="S90" s="402"/>
      <c r="T90" s="393"/>
      <c r="U90" s="393"/>
      <c r="V90" s="397"/>
      <c r="W90" s="397"/>
      <c r="X90" s="397"/>
      <c r="Y90" s="262"/>
      <c r="Z90" s="262"/>
      <c r="AA90" s="262"/>
      <c r="AB90" s="262"/>
    </row>
    <row r="91" spans="1:28" s="70" customFormat="1" ht="15" customHeight="1" x14ac:dyDescent="0.3">
      <c r="A91" s="66"/>
      <c r="B91" s="259"/>
      <c r="C91" s="384"/>
      <c r="D91" s="384"/>
      <c r="E91" s="384"/>
      <c r="F91" s="384"/>
      <c r="G91" s="384"/>
      <c r="H91" s="402"/>
      <c r="I91" s="402"/>
      <c r="J91" s="402"/>
      <c r="K91" s="402"/>
      <c r="L91" s="402"/>
      <c r="M91" s="402"/>
      <c r="N91" s="402"/>
      <c r="O91" s="402"/>
      <c r="P91" s="402"/>
      <c r="Q91" s="402"/>
      <c r="R91" s="402"/>
      <c r="S91" s="402"/>
      <c r="T91" s="393"/>
      <c r="U91" s="393"/>
      <c r="V91" s="397"/>
      <c r="W91" s="397"/>
      <c r="X91" s="397"/>
      <c r="Y91" s="262"/>
      <c r="Z91" s="262"/>
      <c r="AA91" s="262"/>
      <c r="AB91" s="262"/>
    </row>
    <row r="92" spans="1:28" s="70" customFormat="1" ht="15" customHeight="1" x14ac:dyDescent="0.3">
      <c r="A92" s="66"/>
      <c r="B92" s="259"/>
      <c r="C92" s="260"/>
      <c r="D92" s="260"/>
      <c r="E92" s="260"/>
      <c r="F92" s="260"/>
      <c r="G92" s="260"/>
      <c r="H92" s="392"/>
      <c r="I92" s="392"/>
      <c r="J92" s="392"/>
      <c r="K92" s="392"/>
      <c r="L92" s="392"/>
      <c r="M92" s="392"/>
      <c r="N92" s="392"/>
      <c r="O92" s="392"/>
      <c r="P92" s="392"/>
      <c r="Q92" s="392"/>
      <c r="R92" s="400"/>
      <c r="S92" s="400"/>
      <c r="T92" s="254"/>
      <c r="U92" s="255"/>
      <c r="V92" s="256"/>
      <c r="W92" s="256"/>
      <c r="X92" s="256"/>
      <c r="Y92" s="262"/>
      <c r="Z92" s="262"/>
      <c r="AA92" s="262"/>
      <c r="AB92" s="262"/>
    </row>
    <row r="93" spans="1:28" s="70" customFormat="1" ht="15" customHeight="1" x14ac:dyDescent="0.3">
      <c r="A93" s="66"/>
      <c r="B93" s="253"/>
      <c r="C93" s="253"/>
      <c r="D93" s="253"/>
      <c r="E93" s="253"/>
      <c r="F93" s="253"/>
      <c r="G93" s="260"/>
      <c r="H93" s="392"/>
      <c r="I93" s="392"/>
      <c r="J93" s="392"/>
      <c r="K93" s="392"/>
      <c r="L93" s="392"/>
      <c r="M93" s="392"/>
      <c r="N93" s="392"/>
      <c r="O93" s="392"/>
      <c r="P93" s="392"/>
      <c r="Q93" s="392"/>
      <c r="R93" s="400"/>
      <c r="S93" s="400"/>
      <c r="T93" s="254"/>
      <c r="U93" s="255"/>
      <c r="V93" s="256"/>
      <c r="W93" s="256"/>
      <c r="X93" s="256"/>
      <c r="Y93" s="262"/>
      <c r="Z93" s="262"/>
      <c r="AA93" s="262"/>
      <c r="AB93" s="262"/>
    </row>
    <row r="94" spans="1:28" s="70" customFormat="1" ht="15" customHeight="1" x14ac:dyDescent="0.3">
      <c r="A94" s="66"/>
      <c r="B94" s="259"/>
      <c r="C94" s="361"/>
      <c r="D94" s="361"/>
      <c r="E94" s="361"/>
      <c r="F94" s="361"/>
      <c r="G94" s="361"/>
      <c r="H94" s="361"/>
      <c r="I94" s="361"/>
      <c r="J94" s="361"/>
      <c r="K94" s="361"/>
      <c r="L94" s="361"/>
      <c r="M94" s="361"/>
      <c r="N94" s="361"/>
      <c r="O94" s="361"/>
      <c r="P94" s="361"/>
      <c r="Q94" s="361"/>
      <c r="R94" s="361"/>
      <c r="S94" s="262"/>
      <c r="T94" s="262"/>
      <c r="U94" s="262"/>
      <c r="V94" s="261"/>
      <c r="W94" s="261"/>
      <c r="X94" s="262"/>
      <c r="Y94" s="262"/>
      <c r="Z94" s="262"/>
      <c r="AA94" s="262"/>
      <c r="AB94" s="262"/>
    </row>
    <row r="95" spans="1:28" s="70" customFormat="1" ht="15" customHeight="1" x14ac:dyDescent="0.3">
      <c r="A95" s="66"/>
      <c r="B95" s="392"/>
      <c r="C95" s="392"/>
      <c r="D95" s="392"/>
      <c r="E95" s="392"/>
      <c r="F95" s="392"/>
      <c r="G95" s="392"/>
      <c r="H95" s="392"/>
      <c r="I95" s="392"/>
      <c r="J95" s="392"/>
      <c r="K95" s="392"/>
      <c r="L95" s="392"/>
      <c r="M95" s="392"/>
      <c r="N95" s="392"/>
      <c r="O95" s="392"/>
      <c r="P95" s="392"/>
      <c r="Q95" s="392"/>
      <c r="R95" s="392"/>
      <c r="S95" s="392"/>
      <c r="T95" s="401"/>
      <c r="U95" s="401"/>
      <c r="V95" s="401"/>
      <c r="W95" s="401"/>
      <c r="X95" s="401"/>
      <c r="Y95" s="262"/>
      <c r="Z95" s="262"/>
      <c r="AA95" s="262"/>
      <c r="AB95" s="262"/>
    </row>
    <row r="96" spans="1:28" s="70" customFormat="1" ht="15" customHeight="1" x14ac:dyDescent="0.3">
      <c r="A96" s="66"/>
      <c r="B96" s="392"/>
      <c r="C96" s="384"/>
      <c r="D96" s="384"/>
      <c r="E96" s="384"/>
      <c r="F96" s="384"/>
      <c r="G96" s="384"/>
      <c r="H96" s="392"/>
      <c r="I96" s="392"/>
      <c r="J96" s="392"/>
      <c r="K96" s="392"/>
      <c r="L96" s="392"/>
      <c r="M96" s="392"/>
      <c r="N96" s="392"/>
      <c r="O96" s="392"/>
      <c r="P96" s="392"/>
      <c r="Q96" s="392"/>
      <c r="R96" s="392"/>
      <c r="S96" s="392"/>
      <c r="T96" s="392"/>
      <c r="U96" s="392"/>
      <c r="V96" s="392"/>
      <c r="W96" s="392"/>
      <c r="X96" s="392"/>
      <c r="Y96" s="262"/>
      <c r="Z96" s="262"/>
      <c r="AA96" s="262"/>
      <c r="AB96" s="262"/>
    </row>
    <row r="97" spans="1:28" s="70" customFormat="1" ht="15" customHeight="1" x14ac:dyDescent="0.3">
      <c r="A97" s="66"/>
      <c r="B97" s="259"/>
      <c r="C97" s="384"/>
      <c r="D97" s="384"/>
      <c r="E97" s="384"/>
      <c r="F97" s="384"/>
      <c r="G97" s="384"/>
      <c r="H97" s="395"/>
      <c r="I97" s="395"/>
      <c r="J97" s="395"/>
      <c r="K97" s="395"/>
      <c r="L97" s="395"/>
      <c r="M97" s="395"/>
      <c r="N97" s="395"/>
      <c r="O97" s="395"/>
      <c r="P97" s="395"/>
      <c r="Q97" s="395"/>
      <c r="R97" s="395"/>
      <c r="S97" s="395"/>
      <c r="T97" s="403"/>
      <c r="U97" s="403"/>
      <c r="V97" s="404"/>
      <c r="W97" s="404"/>
      <c r="X97" s="404"/>
      <c r="Y97" s="262"/>
      <c r="Z97" s="262"/>
      <c r="AA97" s="262"/>
      <c r="AB97" s="262"/>
    </row>
    <row r="98" spans="1:28" s="70" customFormat="1" ht="15" customHeight="1" x14ac:dyDescent="0.3">
      <c r="A98" s="66"/>
      <c r="B98" s="252"/>
      <c r="C98" s="252"/>
      <c r="D98" s="252"/>
      <c r="E98" s="252"/>
      <c r="F98" s="260"/>
      <c r="G98" s="260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4"/>
      <c r="S98" s="254"/>
      <c r="T98" s="254"/>
      <c r="U98" s="255"/>
      <c r="V98" s="256"/>
      <c r="W98" s="256"/>
      <c r="X98" s="256"/>
      <c r="Y98" s="262"/>
      <c r="Z98" s="262"/>
      <c r="AA98" s="262"/>
      <c r="AB98" s="262"/>
    </row>
    <row r="99" spans="1:28" s="70" customFormat="1" ht="15" customHeight="1" x14ac:dyDescent="0.3">
      <c r="A99" s="66"/>
      <c r="B99" s="252"/>
      <c r="C99" s="253"/>
      <c r="D99" s="253"/>
      <c r="E99" s="253"/>
      <c r="F99" s="253"/>
      <c r="G99" s="253"/>
      <c r="H99" s="253"/>
      <c r="I99" s="253"/>
      <c r="J99" s="253"/>
      <c r="K99" s="253"/>
      <c r="L99" s="253"/>
      <c r="M99" s="253"/>
      <c r="N99" s="253"/>
      <c r="O99" s="253"/>
      <c r="P99" s="253"/>
      <c r="Q99" s="262"/>
      <c r="R99" s="262"/>
      <c r="S99" s="262"/>
      <c r="T99" s="262"/>
      <c r="U99" s="262"/>
      <c r="V99" s="261"/>
      <c r="W99" s="261"/>
      <c r="X99" s="256"/>
      <c r="Y99" s="262"/>
      <c r="Z99" s="262"/>
      <c r="AA99" s="262"/>
      <c r="AB99" s="262"/>
    </row>
    <row r="100" spans="1:28" s="70" customFormat="1" ht="15" customHeight="1" x14ac:dyDescent="0.3">
      <c r="A100" s="66"/>
      <c r="B100" s="392"/>
      <c r="C100" s="392"/>
      <c r="D100" s="392"/>
      <c r="E100" s="392"/>
      <c r="F100" s="392"/>
      <c r="G100" s="392"/>
      <c r="H100" s="392"/>
      <c r="I100" s="392"/>
      <c r="J100" s="401"/>
      <c r="K100" s="401"/>
      <c r="L100" s="401"/>
      <c r="M100" s="401"/>
      <c r="N100" s="401"/>
      <c r="O100" s="401"/>
      <c r="P100" s="401"/>
      <c r="Q100" s="401"/>
      <c r="R100" s="401"/>
      <c r="S100" s="401"/>
      <c r="T100" s="401"/>
      <c r="U100" s="401"/>
      <c r="V100" s="392"/>
      <c r="W100" s="392"/>
      <c r="X100" s="392"/>
      <c r="Y100" s="262"/>
      <c r="Z100" s="262"/>
      <c r="AA100" s="262"/>
      <c r="AB100" s="262"/>
    </row>
    <row r="101" spans="1:28" s="70" customFormat="1" ht="15" customHeight="1" x14ac:dyDescent="0.3">
      <c r="A101" s="66"/>
      <c r="B101" s="392"/>
      <c r="C101" s="392"/>
      <c r="D101" s="392"/>
      <c r="E101" s="392"/>
      <c r="F101" s="392"/>
      <c r="G101" s="392"/>
      <c r="H101" s="392"/>
      <c r="I101" s="392"/>
      <c r="J101" s="392"/>
      <c r="K101" s="392"/>
      <c r="L101" s="392"/>
      <c r="M101" s="392"/>
      <c r="N101" s="392"/>
      <c r="O101" s="392"/>
      <c r="P101" s="392"/>
      <c r="Q101" s="392"/>
      <c r="R101" s="392"/>
      <c r="S101" s="392"/>
      <c r="T101" s="392"/>
      <c r="U101" s="392"/>
      <c r="V101" s="392"/>
      <c r="W101" s="392"/>
      <c r="X101" s="392"/>
      <c r="Y101" s="262"/>
      <c r="Z101" s="262"/>
      <c r="AA101" s="262"/>
      <c r="AB101" s="262"/>
    </row>
    <row r="102" spans="1:28" s="70" customFormat="1" ht="15" customHeight="1" x14ac:dyDescent="0.3">
      <c r="A102" s="66"/>
      <c r="B102" s="259"/>
      <c r="C102" s="384"/>
      <c r="D102" s="384"/>
      <c r="E102" s="384"/>
      <c r="F102" s="384"/>
      <c r="G102" s="392"/>
      <c r="H102" s="392"/>
      <c r="I102" s="392"/>
      <c r="J102" s="402"/>
      <c r="K102" s="402"/>
      <c r="L102" s="402"/>
      <c r="M102" s="402"/>
      <c r="N102" s="402"/>
      <c r="O102" s="402"/>
      <c r="P102" s="402"/>
      <c r="Q102" s="402"/>
      <c r="R102" s="402"/>
      <c r="S102" s="402"/>
      <c r="T102" s="402"/>
      <c r="U102" s="402"/>
      <c r="V102" s="403"/>
      <c r="W102" s="403"/>
      <c r="X102" s="405"/>
      <c r="Y102" s="262"/>
      <c r="Z102" s="262"/>
      <c r="AA102" s="262"/>
      <c r="AB102" s="262"/>
    </row>
    <row r="103" spans="1:28" s="70" customFormat="1" ht="15" customHeight="1" x14ac:dyDescent="0.3">
      <c r="A103" s="66"/>
      <c r="B103" s="259"/>
      <c r="C103" s="384"/>
      <c r="D103" s="384"/>
      <c r="E103" s="384"/>
      <c r="F103" s="384"/>
      <c r="G103" s="384"/>
      <c r="H103" s="384"/>
      <c r="I103" s="384"/>
      <c r="J103" s="398"/>
      <c r="K103" s="398"/>
      <c r="L103" s="398"/>
      <c r="M103" s="398"/>
      <c r="N103" s="398"/>
      <c r="O103" s="398"/>
      <c r="P103" s="398"/>
      <c r="Q103" s="398"/>
      <c r="R103" s="398"/>
      <c r="S103" s="398"/>
      <c r="T103" s="398"/>
      <c r="U103" s="398"/>
      <c r="V103" s="403"/>
      <c r="W103" s="403"/>
      <c r="X103" s="405"/>
      <c r="Y103" s="262"/>
      <c r="Z103" s="262"/>
      <c r="AA103" s="262"/>
      <c r="AB103" s="262"/>
    </row>
    <row r="104" spans="1:28" s="70" customFormat="1" ht="15" customHeight="1" x14ac:dyDescent="0.3">
      <c r="A104" s="66"/>
      <c r="B104" s="259"/>
      <c r="C104" s="260"/>
      <c r="D104" s="260"/>
      <c r="E104" s="260"/>
      <c r="F104" s="260"/>
      <c r="G104" s="260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4"/>
      <c r="S104" s="254"/>
      <c r="T104" s="254"/>
      <c r="U104" s="255"/>
      <c r="V104" s="256"/>
      <c r="W104" s="256"/>
      <c r="X104" s="256"/>
      <c r="Y104" s="262"/>
      <c r="Z104" s="262"/>
      <c r="AA104" s="262"/>
      <c r="AB104" s="262"/>
    </row>
    <row r="105" spans="1:28" ht="15" customHeight="1" x14ac:dyDescent="0.35"/>
    <row r="106" spans="1:28" ht="15" customHeight="1" x14ac:dyDescent="0.35"/>
  </sheetData>
  <mergeCells count="329">
    <mergeCell ref="M47:O47"/>
    <mergeCell ref="M45:O45"/>
    <mergeCell ref="M46:O46"/>
    <mergeCell ref="M44:Q44"/>
    <mergeCell ref="C44:L44"/>
    <mergeCell ref="C45:L45"/>
    <mergeCell ref="C46:L46"/>
    <mergeCell ref="C47:L47"/>
    <mergeCell ref="L9:S9"/>
    <mergeCell ref="I17:M17"/>
    <mergeCell ref="R44:U44"/>
    <mergeCell ref="C37:G37"/>
    <mergeCell ref="H37:T37"/>
    <mergeCell ref="H40:T40"/>
    <mergeCell ref="U40:X40"/>
    <mergeCell ref="U41:X41"/>
    <mergeCell ref="S18:V18"/>
    <mergeCell ref="C29:J29"/>
    <mergeCell ref="N29:O29"/>
    <mergeCell ref="R45:U45"/>
    <mergeCell ref="R46:U46"/>
    <mergeCell ref="P45:Q45"/>
    <mergeCell ref="P46:Q46"/>
    <mergeCell ref="C41:G41"/>
    <mergeCell ref="C102:F103"/>
    <mergeCell ref="G102:I102"/>
    <mergeCell ref="J102:K102"/>
    <mergeCell ref="L102:M102"/>
    <mergeCell ref="N102:O102"/>
    <mergeCell ref="P102:Q102"/>
    <mergeCell ref="R102:S102"/>
    <mergeCell ref="T102:U102"/>
    <mergeCell ref="V102:W103"/>
    <mergeCell ref="L97:M97"/>
    <mergeCell ref="N97:O97"/>
    <mergeCell ref="X102:X103"/>
    <mergeCell ref="G103:I103"/>
    <mergeCell ref="J103:K103"/>
    <mergeCell ref="L103:M103"/>
    <mergeCell ref="N103:O103"/>
    <mergeCell ref="P103:Q103"/>
    <mergeCell ref="R103:S103"/>
    <mergeCell ref="T103:U103"/>
    <mergeCell ref="P97:Q97"/>
    <mergeCell ref="B100:B101"/>
    <mergeCell ref="C100:F100"/>
    <mergeCell ref="G100:I101"/>
    <mergeCell ref="J100:U100"/>
    <mergeCell ref="V100:X100"/>
    <mergeCell ref="C101:F101"/>
    <mergeCell ref="J101:K101"/>
    <mergeCell ref="L101:M101"/>
    <mergeCell ref="N101:O101"/>
    <mergeCell ref="P101:Q101"/>
    <mergeCell ref="R101:S101"/>
    <mergeCell ref="T101:U101"/>
    <mergeCell ref="V101:X101"/>
    <mergeCell ref="R93:S93"/>
    <mergeCell ref="B95:B96"/>
    <mergeCell ref="C95:G95"/>
    <mergeCell ref="H95:S95"/>
    <mergeCell ref="R97:S97"/>
    <mergeCell ref="T95:X95"/>
    <mergeCell ref="C96:G96"/>
    <mergeCell ref="H96:I96"/>
    <mergeCell ref="J96:K96"/>
    <mergeCell ref="L96:M96"/>
    <mergeCell ref="H93:I93"/>
    <mergeCell ref="J93:K93"/>
    <mergeCell ref="L93:M93"/>
    <mergeCell ref="N93:O93"/>
    <mergeCell ref="P93:Q93"/>
    <mergeCell ref="T97:U97"/>
    <mergeCell ref="V97:X97"/>
    <mergeCell ref="N96:O96"/>
    <mergeCell ref="P96:Q96"/>
    <mergeCell ref="R96:S96"/>
    <mergeCell ref="T96:X96"/>
    <mergeCell ref="C97:G97"/>
    <mergeCell ref="H97:I97"/>
    <mergeCell ref="J97:K97"/>
    <mergeCell ref="T90:U91"/>
    <mergeCell ref="V90:X91"/>
    <mergeCell ref="C91:G91"/>
    <mergeCell ref="H91:I91"/>
    <mergeCell ref="J91:K91"/>
    <mergeCell ref="L91:M91"/>
    <mergeCell ref="N91:O91"/>
    <mergeCell ref="P91:Q91"/>
    <mergeCell ref="R91:S91"/>
    <mergeCell ref="C90:G90"/>
    <mergeCell ref="H90:I90"/>
    <mergeCell ref="J90:K90"/>
    <mergeCell ref="L90:M90"/>
    <mergeCell ref="N90:O90"/>
    <mergeCell ref="P90:Q90"/>
    <mergeCell ref="R90:S90"/>
    <mergeCell ref="H92:I92"/>
    <mergeCell ref="J92:K92"/>
    <mergeCell ref="L92:M92"/>
    <mergeCell ref="N92:O92"/>
    <mergeCell ref="P92:Q92"/>
    <mergeCell ref="R92:S92"/>
    <mergeCell ref="B87:B89"/>
    <mergeCell ref="C87:G88"/>
    <mergeCell ref="H87:M87"/>
    <mergeCell ref="T87:X88"/>
    <mergeCell ref="H88:S88"/>
    <mergeCell ref="C89:G89"/>
    <mergeCell ref="H89:I89"/>
    <mergeCell ref="J89:K89"/>
    <mergeCell ref="L89:M89"/>
    <mergeCell ref="N89:O89"/>
    <mergeCell ref="P89:Q89"/>
    <mergeCell ref="R89:S89"/>
    <mergeCell ref="T89:X89"/>
    <mergeCell ref="N87:S87"/>
    <mergeCell ref="W84:X84"/>
    <mergeCell ref="C85:G85"/>
    <mergeCell ref="H85:I85"/>
    <mergeCell ref="J85:K85"/>
    <mergeCell ref="L85:M85"/>
    <mergeCell ref="N85:O85"/>
    <mergeCell ref="P85:Q85"/>
    <mergeCell ref="R85:S85"/>
    <mergeCell ref="T85:U85"/>
    <mergeCell ref="V85:X85"/>
    <mergeCell ref="C80:G84"/>
    <mergeCell ref="L80:M80"/>
    <mergeCell ref="N80:O80"/>
    <mergeCell ref="P80:Q80"/>
    <mergeCell ref="R80:S80"/>
    <mergeCell ref="T80:U80"/>
    <mergeCell ref="V80:V83"/>
    <mergeCell ref="H84:I84"/>
    <mergeCell ref="J84:K84"/>
    <mergeCell ref="L84:M84"/>
    <mergeCell ref="N84:O84"/>
    <mergeCell ref="P84:Q84"/>
    <mergeCell ref="R84:S84"/>
    <mergeCell ref="T84:U84"/>
    <mergeCell ref="W80:X83"/>
    <mergeCell ref="H81:I81"/>
    <mergeCell ref="J81:K81"/>
    <mergeCell ref="L81:M81"/>
    <mergeCell ref="N81:O81"/>
    <mergeCell ref="P81:Q81"/>
    <mergeCell ref="R81:S81"/>
    <mergeCell ref="T81:U81"/>
    <mergeCell ref="H82:I82"/>
    <mergeCell ref="J82:K82"/>
    <mergeCell ref="L82:M82"/>
    <mergeCell ref="N82:O82"/>
    <mergeCell ref="P82:Q82"/>
    <mergeCell ref="R82:S82"/>
    <mergeCell ref="T82:U82"/>
    <mergeCell ref="H83:I83"/>
    <mergeCell ref="J83:K83"/>
    <mergeCell ref="L83:M83"/>
    <mergeCell ref="N83:O83"/>
    <mergeCell ref="P83:Q83"/>
    <mergeCell ref="R83:S83"/>
    <mergeCell ref="T83:U83"/>
    <mergeCell ref="H80:I80"/>
    <mergeCell ref="J80:K80"/>
    <mergeCell ref="N79:O79"/>
    <mergeCell ref="V75:V78"/>
    <mergeCell ref="W75:X78"/>
    <mergeCell ref="H76:I76"/>
    <mergeCell ref="J76:K76"/>
    <mergeCell ref="L76:M76"/>
    <mergeCell ref="N76:O76"/>
    <mergeCell ref="P76:Q76"/>
    <mergeCell ref="R76:S76"/>
    <mergeCell ref="T76:U76"/>
    <mergeCell ref="H77:I77"/>
    <mergeCell ref="T78:U78"/>
    <mergeCell ref="P79:Q79"/>
    <mergeCell ref="R79:S79"/>
    <mergeCell ref="T79:U79"/>
    <mergeCell ref="H78:I78"/>
    <mergeCell ref="J78:K78"/>
    <mergeCell ref="L78:M78"/>
    <mergeCell ref="N78:O78"/>
    <mergeCell ref="P78:Q78"/>
    <mergeCell ref="R78:S78"/>
    <mergeCell ref="W79:X79"/>
    <mergeCell ref="V72:W72"/>
    <mergeCell ref="C75:G79"/>
    <mergeCell ref="H75:I75"/>
    <mergeCell ref="J75:K75"/>
    <mergeCell ref="L75:M75"/>
    <mergeCell ref="N75:O75"/>
    <mergeCell ref="P75:Q75"/>
    <mergeCell ref="R75:S75"/>
    <mergeCell ref="T75:U75"/>
    <mergeCell ref="C74:G74"/>
    <mergeCell ref="J74:K74"/>
    <mergeCell ref="L74:M74"/>
    <mergeCell ref="N74:O74"/>
    <mergeCell ref="P74:Q74"/>
    <mergeCell ref="R74:S74"/>
    <mergeCell ref="J77:K77"/>
    <mergeCell ref="L77:M77"/>
    <mergeCell ref="N77:O77"/>
    <mergeCell ref="P77:Q77"/>
    <mergeCell ref="R77:S77"/>
    <mergeCell ref="T77:U77"/>
    <mergeCell ref="H79:I79"/>
    <mergeCell ref="J79:K79"/>
    <mergeCell ref="L79:M79"/>
    <mergeCell ref="B64:B65"/>
    <mergeCell ref="C64:G64"/>
    <mergeCell ref="H64:P64"/>
    <mergeCell ref="Q64:T64"/>
    <mergeCell ref="C65:G65"/>
    <mergeCell ref="Q65:T65"/>
    <mergeCell ref="H65:J65"/>
    <mergeCell ref="K65:P65"/>
    <mergeCell ref="B73:B74"/>
    <mergeCell ref="C73:G73"/>
    <mergeCell ref="H73:I74"/>
    <mergeCell ref="J73:U73"/>
    <mergeCell ref="C67:G68"/>
    <mergeCell ref="B67:B68"/>
    <mergeCell ref="T74:U74"/>
    <mergeCell ref="K66:L66"/>
    <mergeCell ref="M66:N66"/>
    <mergeCell ref="O66:P66"/>
    <mergeCell ref="H67:J68"/>
    <mergeCell ref="K67:L68"/>
    <mergeCell ref="M67:N68"/>
    <mergeCell ref="O67:P68"/>
    <mergeCell ref="Q66:R68"/>
    <mergeCell ref="S66:T68"/>
    <mergeCell ref="B58:B59"/>
    <mergeCell ref="C58:G59"/>
    <mergeCell ref="H58:P59"/>
    <mergeCell ref="B60:B61"/>
    <mergeCell ref="C60:G61"/>
    <mergeCell ref="H60:P61"/>
    <mergeCell ref="Q58:R59"/>
    <mergeCell ref="Q60:R61"/>
    <mergeCell ref="S58:T59"/>
    <mergeCell ref="S60:T61"/>
    <mergeCell ref="B56:B57"/>
    <mergeCell ref="C56:G57"/>
    <mergeCell ref="H56:P56"/>
    <mergeCell ref="Q56:T56"/>
    <mergeCell ref="H57:P57"/>
    <mergeCell ref="Q57:T57"/>
    <mergeCell ref="B51:B52"/>
    <mergeCell ref="C51:G51"/>
    <mergeCell ref="O50:P50"/>
    <mergeCell ref="C53:G53"/>
    <mergeCell ref="H53:J53"/>
    <mergeCell ref="K53:M53"/>
    <mergeCell ref="C94:R94"/>
    <mergeCell ref="C35:G35"/>
    <mergeCell ref="H35:T35"/>
    <mergeCell ref="U35:X35"/>
    <mergeCell ref="C23:J23"/>
    <mergeCell ref="K23:O23"/>
    <mergeCell ref="P23:S23"/>
    <mergeCell ref="T23:X23"/>
    <mergeCell ref="C24:J24"/>
    <mergeCell ref="K24:O24"/>
    <mergeCell ref="P24:S24"/>
    <mergeCell ref="T24:X24"/>
    <mergeCell ref="C30:J30"/>
    <mergeCell ref="N30:O30"/>
    <mergeCell ref="U30:V30"/>
    <mergeCell ref="U29:V29"/>
    <mergeCell ref="C25:J25"/>
    <mergeCell ref="K25:O25"/>
    <mergeCell ref="P25:S25"/>
    <mergeCell ref="T25:X25"/>
    <mergeCell ref="C28:J28"/>
    <mergeCell ref="K28:X28"/>
    <mergeCell ref="C31:J31"/>
    <mergeCell ref="V74:X74"/>
    <mergeCell ref="H41:T41"/>
    <mergeCell ref="U86:V86"/>
    <mergeCell ref="N31:O31"/>
    <mergeCell ref="U31:V31"/>
    <mergeCell ref="C34:G34"/>
    <mergeCell ref="H34:T34"/>
    <mergeCell ref="U34:X34"/>
    <mergeCell ref="C36:G36"/>
    <mergeCell ref="H36:T36"/>
    <mergeCell ref="U36:X36"/>
    <mergeCell ref="U37:X37"/>
    <mergeCell ref="C38:G38"/>
    <mergeCell ref="H38:T38"/>
    <mergeCell ref="U38:X38"/>
    <mergeCell ref="C39:G39"/>
    <mergeCell ref="H39:T39"/>
    <mergeCell ref="C40:G40"/>
    <mergeCell ref="U39:X39"/>
    <mergeCell ref="R47:U47"/>
    <mergeCell ref="P47:Q47"/>
    <mergeCell ref="C52:G52"/>
    <mergeCell ref="H52:J52"/>
    <mergeCell ref="K52:M52"/>
    <mergeCell ref="N52:P52"/>
    <mergeCell ref="Z51:AB51"/>
    <mergeCell ref="Z52:AB52"/>
    <mergeCell ref="Z53:AB53"/>
    <mergeCell ref="C26:J26"/>
    <mergeCell ref="K26:O26"/>
    <mergeCell ref="P26:S26"/>
    <mergeCell ref="T26:X26"/>
    <mergeCell ref="V73:X73"/>
    <mergeCell ref="E1:X1"/>
    <mergeCell ref="E2:X2"/>
    <mergeCell ref="Q52:S52"/>
    <mergeCell ref="T52:V52"/>
    <mergeCell ref="W52:Y52"/>
    <mergeCell ref="N53:P53"/>
    <mergeCell ref="Q53:S53"/>
    <mergeCell ref="T53:V53"/>
    <mergeCell ref="W53:Y53"/>
    <mergeCell ref="H51:Y51"/>
    <mergeCell ref="A4:Y4"/>
    <mergeCell ref="A5:Y5"/>
    <mergeCell ref="C22:J22"/>
    <mergeCell ref="K22:O22"/>
    <mergeCell ref="P22:S22"/>
    <mergeCell ref="T22:X22"/>
  </mergeCells>
  <phoneticPr fontId="31" type="noConversion"/>
  <dataValidations count="2">
    <dataValidation type="list" allowBlank="1" showInputMessage="1" showErrorMessage="1" sqref="T24:X24" xr:uid="{00000000-0002-0000-0000-000000000000}">
      <formula1>"4427051,2937056,3827025"</formula1>
    </dataValidation>
    <dataValidation type="list" allowBlank="1" showInputMessage="1" showErrorMessage="1" sqref="U86:V86" xr:uid="{00000000-0002-0000-0000-000001000000}">
      <formula1>"Ada,Tidak Ada"</formula1>
    </dataValidation>
  </dataValidations>
  <pageMargins left="0.98425196850393704" right="0.23622047244094491" top="0.31496062992125984" bottom="0.35433070866141736" header="0.31496062992125984" footer="0.31496062992125984"/>
  <pageSetup scale="88" orientation="portrait" r:id="rId1"/>
  <rowBreaks count="1" manualBreakCount="1">
    <brk id="39" max="16383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2000000}">
          <x14:formula1>
            <xm:f>'Serti Lux'!$D$7:$D$9</xm:f>
          </x14:formula1>
          <xm:sqref>T23:X23</xm:sqref>
        </x14:dataValidation>
        <x14:dataValidation type="list" allowBlank="1" showInputMessage="1" showErrorMessage="1" xr:uid="{00000000-0002-0000-0000-000003000000}">
          <x14:formula1>
            <xm:f>'serti thermohygro'!$E$8:$E$17</xm:f>
          </x14:formula1>
          <xm:sqref>T25:X26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76"/>
  <sheetViews>
    <sheetView tabSelected="1" view="pageBreakPreview" zoomScaleSheetLayoutView="100" workbookViewId="0">
      <selection activeCell="O8" sqref="O8"/>
    </sheetView>
  </sheetViews>
  <sheetFormatPr defaultColWidth="4.453125" defaultRowHeight="13" x14ac:dyDescent="0.3"/>
  <cols>
    <col min="1" max="1" width="3.54296875" style="56" customWidth="1"/>
    <col min="2" max="2" width="5" style="57" customWidth="1"/>
    <col min="3" max="8" width="3.54296875" style="56" customWidth="1"/>
    <col min="9" max="9" width="5.26953125" style="56" customWidth="1"/>
    <col min="10" max="10" width="6" style="56" customWidth="1"/>
    <col min="11" max="11" width="6.6328125" style="56" customWidth="1"/>
    <col min="12" max="12" width="8.81640625" style="56" customWidth="1"/>
    <col min="13" max="13" width="3.453125" style="56" customWidth="1"/>
    <col min="14" max="14" width="4.1796875" style="56" customWidth="1"/>
    <col min="15" max="19" width="3.54296875" style="56" customWidth="1"/>
    <col min="20" max="20" width="4.54296875" style="56" customWidth="1"/>
    <col min="21" max="21" width="3.81640625" style="56" customWidth="1"/>
    <col min="22" max="16384" width="4.453125" style="56"/>
  </cols>
  <sheetData>
    <row r="1" spans="1:21" s="138" customFormat="1" ht="15.5" x14ac:dyDescent="0.35">
      <c r="A1" s="446" t="s">
        <v>281</v>
      </c>
      <c r="B1" s="446"/>
      <c r="C1" s="446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</row>
    <row r="2" spans="1:21" s="138" customFormat="1" ht="12.7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</row>
    <row r="3" spans="1:21" s="138" customFormat="1" ht="12.75" customHeight="1" x14ac:dyDescent="0.3">
      <c r="A3" s="72" t="s">
        <v>136</v>
      </c>
      <c r="B3" s="72" t="s">
        <v>137</v>
      </c>
      <c r="C3" s="72"/>
      <c r="D3" s="72"/>
      <c r="E3" s="72"/>
      <c r="F3" s="72"/>
      <c r="G3" s="72"/>
      <c r="H3" s="72"/>
      <c r="I3" s="66"/>
      <c r="J3" s="72" t="s">
        <v>10</v>
      </c>
      <c r="P3" s="140"/>
      <c r="Q3" s="140"/>
      <c r="R3" s="140"/>
      <c r="S3" s="140"/>
      <c r="T3" s="140"/>
    </row>
    <row r="4" spans="1:21" s="138" customFormat="1" ht="12.75" customHeight="1" x14ac:dyDescent="0.3">
      <c r="B4" s="140" t="s">
        <v>165</v>
      </c>
      <c r="C4" s="140"/>
      <c r="G4" s="139" t="s">
        <v>10</v>
      </c>
      <c r="H4" s="138" t="str">
        <f>'LK isi'!L8</f>
        <v>RS. SANTA MARIA PEKANBARU</v>
      </c>
      <c r="P4" s="140"/>
      <c r="Q4" s="140"/>
      <c r="R4" s="140"/>
      <c r="S4" s="140"/>
      <c r="T4" s="140"/>
    </row>
    <row r="5" spans="1:21" s="138" customFormat="1" ht="12.75" customHeight="1" x14ac:dyDescent="0.3">
      <c r="B5" s="140" t="s">
        <v>0</v>
      </c>
      <c r="C5" s="140"/>
      <c r="G5" s="139" t="s">
        <v>10</v>
      </c>
      <c r="H5" s="138" t="str">
        <f>'LK isi'!I12</f>
        <v>BELMONT</v>
      </c>
      <c r="P5" s="140"/>
      <c r="Q5" s="140"/>
      <c r="R5" s="140"/>
      <c r="S5" s="140"/>
      <c r="T5" s="140"/>
    </row>
    <row r="6" spans="1:21" s="138" customFormat="1" ht="12.75" customHeight="1" x14ac:dyDescent="0.3">
      <c r="B6" s="140" t="s">
        <v>1</v>
      </c>
      <c r="C6" s="140"/>
      <c r="G6" s="139" t="s">
        <v>10</v>
      </c>
      <c r="H6" s="138" t="str">
        <f>'LK isi'!I13</f>
        <v>CALISTA II</v>
      </c>
      <c r="P6" s="140"/>
      <c r="Q6" s="140"/>
      <c r="R6" s="140"/>
      <c r="S6" s="140"/>
      <c r="T6" s="140"/>
    </row>
    <row r="7" spans="1:21" s="138" customFormat="1" ht="12.75" customHeight="1" x14ac:dyDescent="0.3">
      <c r="B7" s="140" t="s">
        <v>56</v>
      </c>
      <c r="C7" s="140"/>
      <c r="G7" s="139" t="s">
        <v>10</v>
      </c>
      <c r="H7" s="138" t="str">
        <f>'LK isi'!I14</f>
        <v>48569</v>
      </c>
      <c r="P7" s="140"/>
      <c r="Q7" s="140"/>
      <c r="R7" s="140"/>
      <c r="S7" s="140"/>
      <c r="T7" s="140"/>
    </row>
    <row r="8" spans="1:21" s="138" customFormat="1" ht="12.75" customHeight="1" x14ac:dyDescent="0.3">
      <c r="B8" s="140" t="s">
        <v>282</v>
      </c>
      <c r="C8" s="140"/>
      <c r="G8" s="139" t="s">
        <v>10</v>
      </c>
      <c r="H8" s="453" t="str">
        <f>'LK isi'!I17</f>
        <v>11 Desember 2022</v>
      </c>
      <c r="I8" s="453"/>
      <c r="J8" s="453"/>
    </row>
    <row r="9" spans="1:21" s="138" customFormat="1" ht="12.75" customHeight="1" x14ac:dyDescent="0.3">
      <c r="B9" s="140" t="s">
        <v>283</v>
      </c>
      <c r="C9" s="140"/>
      <c r="G9" s="139" t="s">
        <v>10</v>
      </c>
      <c r="H9" s="138" t="str">
        <f>'LK isi'!I15</f>
        <v>Ruang Poli Gigi</v>
      </c>
    </row>
    <row r="10" spans="1:21" s="138" customFormat="1" ht="12.75" customHeight="1" x14ac:dyDescent="0.3">
      <c r="B10" s="140" t="s">
        <v>182</v>
      </c>
      <c r="C10" s="140"/>
      <c r="G10" s="139" t="s">
        <v>10</v>
      </c>
      <c r="H10" s="138" t="str">
        <f>'LK isi'!I16</f>
        <v>Poli Gigi</v>
      </c>
    </row>
    <row r="11" spans="1:21" s="138" customFormat="1" ht="12.75" customHeight="1" x14ac:dyDescent="0.3">
      <c r="A11" s="159"/>
      <c r="B11" s="156" t="s">
        <v>284</v>
      </c>
      <c r="C11" s="156"/>
      <c r="D11" s="159"/>
      <c r="E11" s="159"/>
      <c r="F11" s="159"/>
      <c r="G11" s="176" t="s">
        <v>10</v>
      </c>
      <c r="H11" s="159" t="str">
        <f>'LK isi'!I18</f>
        <v>Fauzan Aziz, AMTE</v>
      </c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</row>
    <row r="12" spans="1:21" s="138" customFormat="1" ht="5.25" customHeight="1" x14ac:dyDescent="0.3">
      <c r="B12" s="141"/>
    </row>
    <row r="13" spans="1:21" s="138" customFormat="1" x14ac:dyDescent="0.3">
      <c r="A13" s="66" t="s">
        <v>140</v>
      </c>
      <c r="B13" s="66" t="s">
        <v>167</v>
      </c>
      <c r="C13" s="72"/>
      <c r="D13" s="72"/>
      <c r="E13" s="72"/>
      <c r="F13" s="72"/>
      <c r="G13" s="72"/>
      <c r="H13" s="72"/>
      <c r="I13" s="72"/>
      <c r="J13" s="72" t="s">
        <v>10</v>
      </c>
    </row>
    <row r="14" spans="1:21" s="138" customFormat="1" x14ac:dyDescent="0.3">
      <c r="B14" s="142" t="s">
        <v>32</v>
      </c>
      <c r="C14" s="138" t="s">
        <v>5</v>
      </c>
      <c r="H14" s="138" t="s">
        <v>114</v>
      </c>
      <c r="I14" s="172">
        <f>'olah data'!U25</f>
        <v>26.628550926031391</v>
      </c>
      <c r="J14" s="139" t="s">
        <v>27</v>
      </c>
      <c r="K14" s="171">
        <f>'olah data'!X25</f>
        <v>0.5</v>
      </c>
      <c r="L14" s="138" t="s">
        <v>36</v>
      </c>
    </row>
    <row r="15" spans="1:21" s="138" customFormat="1" x14ac:dyDescent="0.3">
      <c r="B15" s="142" t="s">
        <v>34</v>
      </c>
      <c r="C15" s="138" t="s">
        <v>6</v>
      </c>
      <c r="H15" s="138" t="s">
        <v>114</v>
      </c>
      <c r="I15" s="172">
        <f>'olah data'!U26</f>
        <v>69.715334708042036</v>
      </c>
      <c r="J15" s="139" t="s">
        <v>27</v>
      </c>
      <c r="K15" s="171">
        <f>'olah data'!X26</f>
        <v>2.2999999999999998</v>
      </c>
      <c r="L15" s="138" t="s">
        <v>28</v>
      </c>
    </row>
    <row r="16" spans="1:21" s="138" customFormat="1" x14ac:dyDescent="0.3">
      <c r="B16" s="142" t="s">
        <v>41</v>
      </c>
      <c r="C16" s="138" t="s">
        <v>63</v>
      </c>
      <c r="H16" s="138" t="s">
        <v>114</v>
      </c>
      <c r="I16" s="184">
        <f>'olah data'!U27</f>
        <v>220.0735495145631</v>
      </c>
      <c r="J16" s="139" t="s">
        <v>27</v>
      </c>
      <c r="K16" s="141">
        <f>'olah data'!X27</f>
        <v>1.2</v>
      </c>
      <c r="L16" s="138" t="s">
        <v>189</v>
      </c>
    </row>
    <row r="17" spans="1:41" s="138" customFormat="1" ht="6" customHeight="1" x14ac:dyDescent="0.3">
      <c r="B17" s="143"/>
      <c r="K17" s="139"/>
      <c r="L17" s="139"/>
    </row>
    <row r="18" spans="1:41" s="140" customFormat="1" x14ac:dyDescent="0.3">
      <c r="A18" s="71" t="s">
        <v>169</v>
      </c>
      <c r="B18" s="71" t="s">
        <v>168</v>
      </c>
      <c r="C18" s="72"/>
      <c r="D18" s="72"/>
      <c r="E18" s="72"/>
      <c r="F18" s="72"/>
      <c r="G18" s="72"/>
      <c r="H18" s="72"/>
      <c r="I18" s="72"/>
      <c r="J18" s="72"/>
      <c r="K18" s="66" t="s">
        <v>10</v>
      </c>
    </row>
    <row r="19" spans="1:41" s="140" customFormat="1" x14ac:dyDescent="0.3">
      <c r="B19" s="145" t="s">
        <v>32</v>
      </c>
      <c r="C19" s="140" t="s">
        <v>33</v>
      </c>
      <c r="G19" s="146" t="s">
        <v>10</v>
      </c>
      <c r="H19" s="140" t="str">
        <f>'olah data'!S31</f>
        <v>Baik</v>
      </c>
    </row>
    <row r="20" spans="1:41" s="140" customFormat="1" x14ac:dyDescent="0.3">
      <c r="B20" s="145" t="s">
        <v>34</v>
      </c>
      <c r="C20" s="140" t="s">
        <v>35</v>
      </c>
      <c r="G20" s="146" t="s">
        <v>10</v>
      </c>
      <c r="H20" s="147" t="str">
        <f>'olah data'!V60</f>
        <v>Baik</v>
      </c>
      <c r="L20" s="147"/>
      <c r="M20" s="147"/>
      <c r="N20" s="147"/>
      <c r="O20" s="147"/>
      <c r="P20" s="147"/>
    </row>
    <row r="21" spans="1:41" s="140" customFormat="1" ht="7.5" customHeight="1" x14ac:dyDescent="0.3">
      <c r="F21" s="145"/>
    </row>
    <row r="22" spans="1:41" s="138" customFormat="1" x14ac:dyDescent="0.3">
      <c r="A22" s="72" t="s">
        <v>148</v>
      </c>
      <c r="B22" s="72" t="s">
        <v>147</v>
      </c>
      <c r="C22" s="72"/>
      <c r="D22" s="72"/>
      <c r="E22" s="72"/>
      <c r="F22" s="72"/>
      <c r="G22" s="72"/>
      <c r="H22" s="72" t="s">
        <v>10</v>
      </c>
    </row>
    <row r="23" spans="1:41" s="148" customFormat="1" ht="20.149999999999999" customHeight="1" x14ac:dyDescent="0.35">
      <c r="B23" s="133" t="s">
        <v>51</v>
      </c>
      <c r="C23" s="440" t="s">
        <v>4</v>
      </c>
      <c r="D23" s="440"/>
      <c r="E23" s="440"/>
      <c r="F23" s="440"/>
      <c r="G23" s="440"/>
      <c r="H23" s="440"/>
      <c r="I23" s="440" t="s">
        <v>0</v>
      </c>
      <c r="J23" s="440"/>
      <c r="K23" s="440"/>
      <c r="L23" s="440"/>
      <c r="M23" s="440" t="s">
        <v>73</v>
      </c>
      <c r="N23" s="440"/>
      <c r="O23" s="440"/>
      <c r="P23" s="440"/>
      <c r="Q23" s="440" t="s">
        <v>74</v>
      </c>
      <c r="R23" s="440"/>
      <c r="S23" s="440"/>
      <c r="T23" s="440"/>
      <c r="Z23" s="444"/>
      <c r="AA23" s="444"/>
      <c r="AB23" s="444"/>
      <c r="AC23" s="444"/>
      <c r="AD23" s="444"/>
      <c r="AE23" s="444"/>
      <c r="AF23" s="444"/>
      <c r="AG23" s="444"/>
      <c r="AH23" s="444"/>
      <c r="AI23" s="444"/>
      <c r="AJ23" s="444"/>
      <c r="AK23" s="444"/>
      <c r="AL23" s="444"/>
      <c r="AM23" s="444"/>
      <c r="AN23" s="444"/>
      <c r="AO23" s="444"/>
    </row>
    <row r="24" spans="1:41" s="138" customFormat="1" x14ac:dyDescent="0.3">
      <c r="B24" s="149">
        <v>1</v>
      </c>
      <c r="C24" s="421" t="str">
        <f>'olah data'!C18</f>
        <v>Lux Meter</v>
      </c>
      <c r="D24" s="421"/>
      <c r="E24" s="421"/>
      <c r="F24" s="421"/>
      <c r="G24" s="421"/>
      <c r="H24" s="421"/>
      <c r="I24" s="422" t="str">
        <f>'olah data'!L18</f>
        <v>Kimo</v>
      </c>
      <c r="J24" s="422"/>
      <c r="K24" s="422"/>
      <c r="L24" s="422"/>
      <c r="M24" s="422" t="str">
        <f>'olah data'!Q18</f>
        <v>LX 200</v>
      </c>
      <c r="N24" s="422"/>
      <c r="O24" s="422"/>
      <c r="P24" s="422"/>
      <c r="Q24" s="422">
        <f>'olah data'!U18</f>
        <v>21110978</v>
      </c>
      <c r="R24" s="422"/>
      <c r="S24" s="422"/>
      <c r="T24" s="422"/>
      <c r="Z24" s="445"/>
      <c r="AA24" s="445"/>
      <c r="AB24" s="445"/>
      <c r="AC24" s="445"/>
      <c r="AD24" s="445"/>
      <c r="AE24" s="445"/>
      <c r="AF24" s="445"/>
      <c r="AG24" s="445"/>
      <c r="AH24" s="445"/>
      <c r="AI24" s="445"/>
      <c r="AJ24" s="445"/>
      <c r="AK24" s="445"/>
      <c r="AL24" s="445"/>
      <c r="AM24" s="445"/>
      <c r="AN24" s="445"/>
      <c r="AO24" s="445"/>
    </row>
    <row r="25" spans="1:41" s="138" customFormat="1" x14ac:dyDescent="0.3">
      <c r="B25" s="150">
        <v>2</v>
      </c>
      <c r="C25" s="421" t="str">
        <f>'olah data'!C19</f>
        <v>Electrical Safety Analyzer</v>
      </c>
      <c r="D25" s="421"/>
      <c r="E25" s="421"/>
      <c r="F25" s="421"/>
      <c r="G25" s="421"/>
      <c r="H25" s="421"/>
      <c r="I25" s="422" t="str">
        <f>'olah data'!L19</f>
        <v>Fluke</v>
      </c>
      <c r="J25" s="422"/>
      <c r="K25" s="422"/>
      <c r="L25" s="422"/>
      <c r="M25" s="422" t="str">
        <f>'olah data'!Q19</f>
        <v>ESA 615</v>
      </c>
      <c r="N25" s="422"/>
      <c r="O25" s="422"/>
      <c r="P25" s="422"/>
      <c r="Q25" s="422">
        <f>'olah data'!U19</f>
        <v>4427051</v>
      </c>
      <c r="R25" s="422"/>
      <c r="S25" s="422"/>
      <c r="T25" s="422"/>
      <c r="Z25" s="141"/>
    </row>
    <row r="26" spans="1:41" s="138" customFormat="1" x14ac:dyDescent="0.3">
      <c r="B26" s="149">
        <v>3</v>
      </c>
      <c r="C26" s="421" t="str">
        <f>'olah data'!C20</f>
        <v>Thermohygrometer</v>
      </c>
      <c r="D26" s="421"/>
      <c r="E26" s="421"/>
      <c r="F26" s="421"/>
      <c r="G26" s="421"/>
      <c r="H26" s="421"/>
      <c r="I26" s="422" t="str">
        <f>'olah data'!L20</f>
        <v>BK Precision</v>
      </c>
      <c r="J26" s="422"/>
      <c r="K26" s="422"/>
      <c r="L26" s="422"/>
      <c r="M26" s="422">
        <f>'olah data'!Q20</f>
        <v>725</v>
      </c>
      <c r="N26" s="422"/>
      <c r="O26" s="422"/>
      <c r="P26" s="422"/>
      <c r="Q26" s="422" t="str">
        <f>'olah data'!U20</f>
        <v>117C21114</v>
      </c>
      <c r="R26" s="422"/>
      <c r="S26" s="422"/>
      <c r="T26" s="422"/>
      <c r="Z26" s="141"/>
    </row>
    <row r="27" spans="1:41" s="138" customFormat="1" x14ac:dyDescent="0.3">
      <c r="B27" s="149">
        <v>4</v>
      </c>
      <c r="C27" s="421" t="str">
        <f>'olah data'!C21</f>
        <v>Meteran</v>
      </c>
      <c r="D27" s="421"/>
      <c r="E27" s="421"/>
      <c r="F27" s="421"/>
      <c r="G27" s="421"/>
      <c r="H27" s="421"/>
      <c r="I27" s="422" t="str">
        <f>'olah data'!L21</f>
        <v>-</v>
      </c>
      <c r="J27" s="422"/>
      <c r="K27" s="422"/>
      <c r="L27" s="422"/>
      <c r="M27" s="422" t="str">
        <f>'olah data'!Q21</f>
        <v>-</v>
      </c>
      <c r="N27" s="422"/>
      <c r="O27" s="422"/>
      <c r="P27" s="422"/>
      <c r="Q27" s="422" t="str">
        <f>'olah data'!U21</f>
        <v>-</v>
      </c>
      <c r="R27" s="422"/>
      <c r="S27" s="422"/>
      <c r="T27" s="422"/>
      <c r="Z27" s="141"/>
    </row>
    <row r="28" spans="1:41" s="138" customFormat="1" ht="12" customHeight="1" x14ac:dyDescent="0.3">
      <c r="B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</row>
    <row r="29" spans="1:41" s="138" customFormat="1" ht="15" customHeight="1" x14ac:dyDescent="0.3">
      <c r="A29" s="308" t="s">
        <v>266</v>
      </c>
      <c r="B29" s="322" t="s">
        <v>267</v>
      </c>
      <c r="C29" s="308"/>
      <c r="D29" s="308"/>
      <c r="E29" s="308"/>
      <c r="F29" s="308"/>
      <c r="G29" s="308"/>
      <c r="H29" s="308"/>
      <c r="I29" s="322"/>
      <c r="J29" s="322" t="s">
        <v>10</v>
      </c>
      <c r="K29" s="141"/>
      <c r="L29" s="141"/>
      <c r="M29" s="141"/>
      <c r="N29" s="141"/>
      <c r="O29" s="141"/>
      <c r="P29" s="141"/>
      <c r="Q29" s="141"/>
      <c r="R29" s="141"/>
      <c r="S29" s="141"/>
      <c r="T29" s="141"/>
    </row>
    <row r="30" spans="1:41" s="140" customFormat="1" ht="12.75" customHeight="1" x14ac:dyDescent="0.3">
      <c r="B30" s="427" t="s">
        <v>51</v>
      </c>
      <c r="C30" s="427" t="s">
        <v>38</v>
      </c>
      <c r="D30" s="423"/>
      <c r="E30" s="423"/>
      <c r="F30" s="423"/>
      <c r="G30" s="423"/>
      <c r="H30" s="423"/>
      <c r="I30" s="423"/>
      <c r="J30" s="424"/>
      <c r="K30" s="427" t="s">
        <v>40</v>
      </c>
      <c r="L30" s="423"/>
      <c r="M30" s="424"/>
      <c r="N30" s="423" t="s">
        <v>170</v>
      </c>
      <c r="O30" s="423"/>
      <c r="P30" s="423"/>
      <c r="Q30" s="424"/>
    </row>
    <row r="31" spans="1:41" s="140" customFormat="1" ht="12.75" customHeight="1" x14ac:dyDescent="0.3">
      <c r="B31" s="435"/>
      <c r="C31" s="435"/>
      <c r="D31" s="436"/>
      <c r="E31" s="436"/>
      <c r="F31" s="436"/>
      <c r="G31" s="436"/>
      <c r="H31" s="436"/>
      <c r="I31" s="436"/>
      <c r="J31" s="437"/>
      <c r="K31" s="435"/>
      <c r="L31" s="436"/>
      <c r="M31" s="437"/>
      <c r="N31" s="436" t="s">
        <v>171</v>
      </c>
      <c r="O31" s="436"/>
      <c r="P31" s="436"/>
      <c r="Q31" s="437"/>
      <c r="W31" s="72"/>
      <c r="X31" s="233"/>
      <c r="Y31" s="72"/>
      <c r="Z31" s="72"/>
      <c r="AA31" s="72"/>
      <c r="AB31" s="72"/>
      <c r="AC31" s="72"/>
      <c r="AD31" s="72"/>
      <c r="AE31" s="233"/>
    </row>
    <row r="32" spans="1:41" s="140" customFormat="1" x14ac:dyDescent="0.3">
      <c r="B32" s="152">
        <v>1</v>
      </c>
      <c r="C32" s="153" t="str">
        <f>'LK isi'!C45:L45</f>
        <v xml:space="preserve">Resistansi pembumian protektif </v>
      </c>
      <c r="J32" s="154"/>
      <c r="K32" s="438" t="str">
        <f>'LK isi'!M45</f>
        <v>-</v>
      </c>
      <c r="L32" s="439"/>
      <c r="M32" s="154" t="str">
        <f>'olah data'!O41</f>
        <v>Ω</v>
      </c>
      <c r="N32" s="439" t="str">
        <f>'LK isi'!R45</f>
        <v>≤ 0,3 Ω</v>
      </c>
      <c r="O32" s="439"/>
      <c r="P32" s="439"/>
      <c r="Q32" s="443"/>
    </row>
    <row r="33" spans="1:20" s="140" customFormat="1" x14ac:dyDescent="0.3">
      <c r="B33" s="152">
        <v>2</v>
      </c>
      <c r="C33" s="153" t="str">
        <f>'LK isi'!C46:L46</f>
        <v>Arus bocor peralatan metode langsung</v>
      </c>
      <c r="J33" s="154"/>
      <c r="K33" s="438">
        <f>'LK isi'!M46</f>
        <v>12.4</v>
      </c>
      <c r="L33" s="439"/>
      <c r="M33" s="154" t="str">
        <f>'olah data'!O42</f>
        <v>µA</v>
      </c>
      <c r="N33" s="439" t="str">
        <f>'LK isi'!R46</f>
        <v xml:space="preserve"> ≤ 500 µA</v>
      </c>
      <c r="O33" s="439"/>
      <c r="P33" s="439"/>
      <c r="Q33" s="443"/>
    </row>
    <row r="34" spans="1:20" s="140" customFormat="1" x14ac:dyDescent="0.3">
      <c r="B34" s="149">
        <v>3</v>
      </c>
      <c r="C34" s="155" t="str">
        <f>'LK isi'!C47:L47</f>
        <v>Resistansi isolasi</v>
      </c>
      <c r="D34" s="156"/>
      <c r="E34" s="156"/>
      <c r="F34" s="156"/>
      <c r="G34" s="156"/>
      <c r="H34" s="156"/>
      <c r="I34" s="156"/>
      <c r="J34" s="157"/>
      <c r="K34" s="441" t="str">
        <f>'LK isi'!M47</f>
        <v>OL</v>
      </c>
      <c r="L34" s="442"/>
      <c r="M34" s="157" t="str">
        <f>'olah data'!O43</f>
        <v>MΩ</v>
      </c>
      <c r="N34" s="439" t="str">
        <f>'LK isi'!R47</f>
        <v>&gt; 2 MΩ</v>
      </c>
      <c r="O34" s="439"/>
      <c r="P34" s="439"/>
      <c r="Q34" s="443"/>
    </row>
    <row r="35" spans="1:20" s="140" customFormat="1" ht="15.75" customHeight="1" x14ac:dyDescent="0.3">
      <c r="B35" s="358" t="s">
        <v>115</v>
      </c>
      <c r="C35" s="359"/>
      <c r="D35" s="359"/>
      <c r="E35" s="359"/>
      <c r="F35" s="359"/>
      <c r="G35" s="360"/>
      <c r="H35" s="359" t="str">
        <f>'olah data'!AE41</f>
        <v>Aman atau tidak terjadi penyimpangan fungsional</v>
      </c>
      <c r="I35" s="359"/>
      <c r="J35" s="359"/>
      <c r="K35" s="359"/>
      <c r="L35" s="359"/>
      <c r="M35" s="359"/>
      <c r="N35" s="359"/>
      <c r="O35" s="359"/>
      <c r="P35" s="359"/>
      <c r="Q35" s="360"/>
      <c r="R35" s="158"/>
      <c r="S35" s="158"/>
      <c r="T35" s="158"/>
    </row>
    <row r="36" spans="1:20" s="140" customFormat="1" ht="13.5" customHeight="1" x14ac:dyDescent="0.3">
      <c r="B36" s="316" t="s">
        <v>260</v>
      </c>
      <c r="C36" s="320" t="s">
        <v>32</v>
      </c>
      <c r="D36" s="318" t="s">
        <v>261</v>
      </c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146"/>
    </row>
    <row r="37" spans="1:20" s="140" customFormat="1" ht="13.5" customHeight="1" x14ac:dyDescent="0.3">
      <c r="B37" s="319"/>
      <c r="C37" s="317" t="s">
        <v>80</v>
      </c>
      <c r="D37" s="319" t="s">
        <v>262</v>
      </c>
      <c r="E37" s="319"/>
      <c r="F37" s="319"/>
      <c r="G37" s="319"/>
      <c r="H37" s="319"/>
      <c r="I37" s="319"/>
      <c r="J37" s="319"/>
      <c r="K37" s="319"/>
      <c r="L37" s="318"/>
      <c r="M37" s="318"/>
      <c r="N37" s="318"/>
      <c r="O37" s="316"/>
      <c r="P37" s="319"/>
      <c r="Q37" s="318"/>
      <c r="R37" s="146"/>
    </row>
    <row r="38" spans="1:20" s="140" customFormat="1" ht="13.5" customHeight="1" x14ac:dyDescent="0.35">
      <c r="B38" s="319" t="s">
        <v>263</v>
      </c>
      <c r="C38" s="320" t="s">
        <v>34</v>
      </c>
      <c r="D38" s="318" t="s">
        <v>264</v>
      </c>
      <c r="E38" s="319"/>
      <c r="F38" s="319"/>
      <c r="G38" s="319"/>
      <c r="H38" s="319"/>
      <c r="I38" s="319"/>
      <c r="J38" s="319"/>
      <c r="K38" s="319"/>
      <c r="L38" s="318"/>
      <c r="M38" s="318"/>
      <c r="N38" s="318"/>
      <c r="O38" s="316"/>
      <c r="P38" s="319"/>
      <c r="Q38" s="318"/>
      <c r="R38" s="146"/>
    </row>
    <row r="39" spans="1:20" s="140" customFormat="1" ht="6.75" customHeight="1" x14ac:dyDescent="0.3">
      <c r="B39" s="145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Q39" s="145"/>
      <c r="R39" s="146"/>
    </row>
    <row r="40" spans="1:20" s="138" customFormat="1" x14ac:dyDescent="0.3">
      <c r="A40" s="66" t="s">
        <v>152</v>
      </c>
      <c r="B40" s="66" t="s">
        <v>158</v>
      </c>
      <c r="C40" s="72"/>
      <c r="D40" s="72"/>
      <c r="E40" s="72"/>
      <c r="F40" s="72"/>
      <c r="G40" s="72"/>
      <c r="H40" s="72"/>
      <c r="I40" s="72"/>
      <c r="J40" s="72"/>
      <c r="K40" s="72" t="s">
        <v>10</v>
      </c>
    </row>
    <row r="41" spans="1:20" s="138" customFormat="1" x14ac:dyDescent="0.3">
      <c r="A41" s="72"/>
      <c r="B41" s="135" t="s">
        <v>32</v>
      </c>
      <c r="C41" s="72" t="str">
        <f>'olah data'!C48</f>
        <v>Parameter Illuminance</v>
      </c>
      <c r="D41" s="72"/>
      <c r="E41" s="72"/>
      <c r="F41" s="72"/>
      <c r="G41" s="72"/>
      <c r="H41" s="74"/>
      <c r="I41" s="72" t="s">
        <v>10</v>
      </c>
      <c r="J41" s="72"/>
      <c r="K41" s="72"/>
    </row>
    <row r="42" spans="1:20" s="138" customFormat="1" ht="16.5" customHeight="1" x14ac:dyDescent="0.3">
      <c r="B42" s="428" t="s">
        <v>231</v>
      </c>
      <c r="C42" s="428"/>
      <c r="D42" s="428"/>
      <c r="E42" s="427"/>
      <c r="F42" s="427" t="s">
        <v>250</v>
      </c>
      <c r="G42" s="423"/>
      <c r="H42" s="423"/>
      <c r="I42" s="424"/>
      <c r="J42" s="423" t="s">
        <v>39</v>
      </c>
      <c r="K42" s="423"/>
      <c r="L42" s="424"/>
      <c r="M42" s="308"/>
      <c r="N42" s="308"/>
      <c r="O42" s="308"/>
      <c r="P42" s="308"/>
      <c r="Q42" s="308"/>
      <c r="R42" s="308"/>
      <c r="S42" s="160"/>
      <c r="T42" s="160"/>
    </row>
    <row r="43" spans="1:20" s="138" customFormat="1" ht="16.5" customHeight="1" x14ac:dyDescent="0.3">
      <c r="B43" s="387" t="s">
        <v>249</v>
      </c>
      <c r="C43" s="387"/>
      <c r="D43" s="387"/>
      <c r="E43" s="355"/>
      <c r="F43" s="432" t="s">
        <v>280</v>
      </c>
      <c r="G43" s="433"/>
      <c r="H43" s="433"/>
      <c r="I43" s="434"/>
      <c r="J43" s="433" t="s">
        <v>275</v>
      </c>
      <c r="K43" s="433"/>
      <c r="L43" s="434"/>
      <c r="M43" s="71"/>
      <c r="N43" s="71"/>
      <c r="O43" s="308"/>
      <c r="P43" s="308"/>
      <c r="Q43" s="308"/>
      <c r="R43" s="308"/>
      <c r="S43" s="160"/>
      <c r="T43" s="160"/>
    </row>
    <row r="44" spans="1:20" s="138" customFormat="1" ht="16.5" customHeight="1" x14ac:dyDescent="0.3">
      <c r="B44" s="429" t="str">
        <f>'LK isi'!C53</f>
        <v>Max</v>
      </c>
      <c r="C44" s="430"/>
      <c r="D44" s="430"/>
      <c r="E44" s="431"/>
      <c r="F44" s="447">
        <f>'olah data'!D55/1000</f>
        <v>10.957215633423179</v>
      </c>
      <c r="G44" s="448"/>
      <c r="H44" s="448"/>
      <c r="I44" s="449"/>
      <c r="J44" s="450" t="s">
        <v>278</v>
      </c>
      <c r="K44" s="451"/>
      <c r="L44" s="452"/>
      <c r="M44" s="161"/>
      <c r="N44" s="161"/>
      <c r="O44" s="151"/>
      <c r="P44" s="151"/>
      <c r="Q44" s="151"/>
      <c r="R44" s="151"/>
      <c r="S44" s="160"/>
      <c r="T44" s="160"/>
    </row>
    <row r="45" spans="1:20" s="138" customFormat="1" ht="16.5" customHeight="1" x14ac:dyDescent="0.3">
      <c r="B45" s="425" t="s">
        <v>135</v>
      </c>
      <c r="C45" s="426"/>
      <c r="D45" s="426"/>
      <c r="E45" s="426"/>
      <c r="F45" s="426"/>
      <c r="G45" s="426"/>
      <c r="H45" s="426"/>
      <c r="I45" s="426"/>
      <c r="J45" s="311" t="s">
        <v>27</v>
      </c>
      <c r="K45" s="244">
        <f>ktps!L15</f>
        <v>0.22008215438497347</v>
      </c>
      <c r="L45" s="243" t="s">
        <v>279</v>
      </c>
      <c r="M45" s="306"/>
      <c r="N45" s="309"/>
      <c r="O45" s="310"/>
      <c r="P45" s="310"/>
      <c r="Q45" s="310"/>
      <c r="R45" s="310"/>
      <c r="S45" s="160"/>
      <c r="T45" s="160"/>
    </row>
    <row r="46" spans="1:20" s="138" customFormat="1" ht="7.5" customHeight="1" x14ac:dyDescent="0.3">
      <c r="B46" s="312"/>
      <c r="C46" s="312"/>
      <c r="D46" s="312"/>
      <c r="E46" s="312"/>
      <c r="F46" s="312"/>
      <c r="G46" s="312"/>
      <c r="H46" s="312"/>
      <c r="I46" s="312"/>
      <c r="J46" s="313"/>
      <c r="K46" s="307"/>
      <c r="L46" s="136"/>
      <c r="M46" s="306"/>
      <c r="N46" s="309"/>
      <c r="O46" s="310"/>
      <c r="P46" s="310"/>
      <c r="Q46" s="310"/>
      <c r="R46" s="310"/>
      <c r="S46" s="160"/>
      <c r="T46" s="160"/>
    </row>
    <row r="47" spans="1:20" s="140" customFormat="1" x14ac:dyDescent="0.3">
      <c r="A47" s="66" t="s">
        <v>157</v>
      </c>
      <c r="B47" s="97" t="s">
        <v>172</v>
      </c>
      <c r="C47" s="97"/>
      <c r="D47" s="97"/>
      <c r="E47" s="97"/>
      <c r="F47" s="97"/>
      <c r="G47" s="97"/>
      <c r="H47" s="97"/>
      <c r="I47" s="97" t="s">
        <v>10</v>
      </c>
      <c r="J47" s="151"/>
      <c r="K47" s="151"/>
      <c r="L47" s="151"/>
    </row>
    <row r="48" spans="1:20" s="140" customFormat="1" x14ac:dyDescent="0.3">
      <c r="B48" s="140" t="s">
        <v>32</v>
      </c>
      <c r="C48" s="140" t="s">
        <v>83</v>
      </c>
      <c r="F48" s="140" t="s">
        <v>10</v>
      </c>
      <c r="G48" s="140" t="str">
        <f>'olah data'!AB60</f>
        <v>Alat dinyatakan Laik Pakai</v>
      </c>
    </row>
    <row r="49" spans="1:21" s="140" customFormat="1" x14ac:dyDescent="0.3">
      <c r="B49" s="140" t="s">
        <v>34</v>
      </c>
      <c r="C49" s="140" t="s">
        <v>84</v>
      </c>
      <c r="F49" s="140" t="s">
        <v>10</v>
      </c>
      <c r="G49" s="140" t="str">
        <f>'olah data'!AE60</f>
        <v>Lakukan pengujian ulang sesuai jadwal secara berkala</v>
      </c>
    </row>
    <row r="50" spans="1:21" s="140" customFormat="1" ht="4.5" customHeight="1" x14ac:dyDescent="0.3"/>
    <row r="51" spans="1:21" s="140" customFormat="1" x14ac:dyDescent="0.3">
      <c r="A51" s="110" t="s">
        <v>159</v>
      </c>
      <c r="B51" s="66" t="s">
        <v>173</v>
      </c>
      <c r="C51" s="72"/>
      <c r="D51" s="72"/>
      <c r="E51" s="72"/>
      <c r="F51" s="66"/>
      <c r="G51" s="66"/>
      <c r="H51" s="66"/>
      <c r="I51" s="66"/>
      <c r="J51" s="66" t="s">
        <v>10</v>
      </c>
    </row>
    <row r="52" spans="1:21" s="140" customFormat="1" x14ac:dyDescent="0.3">
      <c r="B52" s="162" t="s">
        <v>174</v>
      </c>
    </row>
    <row r="53" spans="1:21" s="140" customFormat="1" x14ac:dyDescent="0.3">
      <c r="B53" s="162" t="s">
        <v>184</v>
      </c>
    </row>
    <row r="54" spans="1:21" s="140" customFormat="1" x14ac:dyDescent="0.3">
      <c r="B54" s="146" t="s">
        <v>259</v>
      </c>
    </row>
    <row r="55" spans="1:21" s="140" customFormat="1" x14ac:dyDescent="0.3">
      <c r="B55" s="146"/>
    </row>
    <row r="56" spans="1:21" s="140" customFormat="1" x14ac:dyDescent="0.3">
      <c r="B56" s="110" t="s">
        <v>29</v>
      </c>
    </row>
    <row r="57" spans="1:21" s="144" customFormat="1" x14ac:dyDescent="0.35">
      <c r="B57" s="137" t="s">
        <v>30</v>
      </c>
      <c r="C57" s="151" t="s">
        <v>179</v>
      </c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</row>
    <row r="58" spans="1:21" s="140" customFormat="1" ht="12.75" customHeight="1" x14ac:dyDescent="0.3">
      <c r="B58" s="163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1:21" s="144" customFormat="1" x14ac:dyDescent="0.35">
      <c r="B59" s="163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</row>
    <row r="60" spans="1:21" s="140" customFormat="1" ht="17.25" customHeight="1" x14ac:dyDescent="0.3">
      <c r="B60" s="146"/>
      <c r="C60" s="165"/>
      <c r="D60" s="165"/>
      <c r="E60" s="165"/>
      <c r="F60" s="165"/>
      <c r="G60" s="165"/>
      <c r="H60" s="165"/>
      <c r="I60" s="165"/>
      <c r="J60" s="165"/>
      <c r="M60" s="151" t="s">
        <v>221</v>
      </c>
      <c r="N60" s="138"/>
      <c r="O60" s="321" t="str">
        <f>'LK isi'!I19</f>
        <v>29 Desember 2022</v>
      </c>
      <c r="P60" s="321"/>
      <c r="Q60" s="321"/>
      <c r="R60" s="321"/>
      <c r="S60" s="151"/>
      <c r="T60" s="151"/>
    </row>
    <row r="61" spans="1:21" s="140" customFormat="1" x14ac:dyDescent="0.3">
      <c r="B61" s="146"/>
      <c r="M61" s="140" t="s">
        <v>175</v>
      </c>
      <c r="N61" s="138"/>
    </row>
    <row r="62" spans="1:21" s="140" customFormat="1" x14ac:dyDescent="0.3">
      <c r="B62" s="146"/>
      <c r="M62" s="140" t="s">
        <v>176</v>
      </c>
      <c r="N62" s="138"/>
    </row>
    <row r="63" spans="1:21" s="140" customFormat="1" x14ac:dyDescent="0.3">
      <c r="B63" s="146"/>
      <c r="M63" s="138"/>
      <c r="N63" s="138"/>
    </row>
    <row r="64" spans="1:21" s="140" customFormat="1" x14ac:dyDescent="0.3">
      <c r="B64" s="146"/>
      <c r="M64" s="138"/>
      <c r="N64" s="138"/>
    </row>
    <row r="65" spans="2:14" s="140" customFormat="1" x14ac:dyDescent="0.3">
      <c r="B65" s="146"/>
      <c r="M65" s="138"/>
      <c r="N65" s="138"/>
    </row>
    <row r="66" spans="2:14" s="140" customFormat="1" x14ac:dyDescent="0.3">
      <c r="B66" s="146"/>
      <c r="C66" s="166"/>
      <c r="M66" s="166" t="s">
        <v>177</v>
      </c>
      <c r="N66" s="138"/>
    </row>
    <row r="67" spans="2:14" s="140" customFormat="1" x14ac:dyDescent="0.3">
      <c r="B67" s="146"/>
      <c r="M67" s="140" t="s">
        <v>178</v>
      </c>
      <c r="N67" s="138"/>
    </row>
    <row r="68" spans="2:14" s="167" customFormat="1" x14ac:dyDescent="0.3">
      <c r="B68" s="168"/>
    </row>
    <row r="69" spans="2:14" s="167" customFormat="1" x14ac:dyDescent="0.3">
      <c r="B69" s="168"/>
    </row>
    <row r="70" spans="2:14" s="167" customFormat="1" x14ac:dyDescent="0.3">
      <c r="B70" s="168"/>
    </row>
    <row r="71" spans="2:14" s="167" customFormat="1" x14ac:dyDescent="0.3">
      <c r="B71" s="168"/>
    </row>
    <row r="72" spans="2:14" s="167" customFormat="1" x14ac:dyDescent="0.3">
      <c r="B72" s="168"/>
    </row>
    <row r="73" spans="2:14" s="167" customFormat="1" x14ac:dyDescent="0.3">
      <c r="B73" s="168"/>
    </row>
    <row r="74" spans="2:14" s="167" customFormat="1" x14ac:dyDescent="0.3">
      <c r="B74" s="168"/>
    </row>
    <row r="75" spans="2:14" s="167" customFormat="1" x14ac:dyDescent="0.3">
      <c r="B75" s="168"/>
    </row>
    <row r="76" spans="2:14" s="167" customFormat="1" x14ac:dyDescent="0.3">
      <c r="B76" s="168"/>
    </row>
  </sheetData>
  <mergeCells count="47">
    <mergeCell ref="A1:U1"/>
    <mergeCell ref="F44:I44"/>
    <mergeCell ref="J44:L44"/>
    <mergeCell ref="B43:E43"/>
    <mergeCell ref="H35:Q35"/>
    <mergeCell ref="B35:G35"/>
    <mergeCell ref="H8:J8"/>
    <mergeCell ref="C25:H25"/>
    <mergeCell ref="C24:H24"/>
    <mergeCell ref="Q26:T26"/>
    <mergeCell ref="I25:L25"/>
    <mergeCell ref="C23:H23"/>
    <mergeCell ref="I26:L26"/>
    <mergeCell ref="M26:P26"/>
    <mergeCell ref="C26:H26"/>
    <mergeCell ref="I24:L24"/>
    <mergeCell ref="Z23:AO23"/>
    <mergeCell ref="Z24:AO24"/>
    <mergeCell ref="M23:P23"/>
    <mergeCell ref="M25:P25"/>
    <mergeCell ref="Q25:T25"/>
    <mergeCell ref="M24:P24"/>
    <mergeCell ref="Q24:T24"/>
    <mergeCell ref="Q23:T23"/>
    <mergeCell ref="I23:L23"/>
    <mergeCell ref="K33:L33"/>
    <mergeCell ref="K34:L34"/>
    <mergeCell ref="N32:Q32"/>
    <mergeCell ref="N33:Q33"/>
    <mergeCell ref="N34:Q34"/>
    <mergeCell ref="J43:L43"/>
    <mergeCell ref="B30:B31"/>
    <mergeCell ref="C30:J31"/>
    <mergeCell ref="K30:M31"/>
    <mergeCell ref="N31:Q31"/>
    <mergeCell ref="K32:L32"/>
    <mergeCell ref="N30:Q30"/>
    <mergeCell ref="B45:I45"/>
    <mergeCell ref="F42:I42"/>
    <mergeCell ref="B42:E42"/>
    <mergeCell ref="B44:E44"/>
    <mergeCell ref="F43:I43"/>
    <mergeCell ref="C27:H27"/>
    <mergeCell ref="I27:L27"/>
    <mergeCell ref="M27:P27"/>
    <mergeCell ref="Q27:T27"/>
    <mergeCell ref="J42:L42"/>
  </mergeCells>
  <pageMargins left="0.86614173228346503" right="0" top="1.61417322834646" bottom="0.35433070866141703" header="0.31496062992126" footer="0.31496062992126"/>
  <pageSetup scale="80" orientation="portrait" horizontalDpi="4294967293" verticalDpi="200" r:id="rId1"/>
  <headerFooter>
    <oddFooter>&amp;R&amp;"-,Italic"&amp;8Halaman &amp;P+1 dari &amp;N+1 Halaman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66"/>
  <sheetViews>
    <sheetView view="pageBreakPreview" topLeftCell="A49" zoomScaleNormal="85" zoomScaleSheetLayoutView="100" workbookViewId="0">
      <selection activeCell="AE61" sqref="AE61"/>
    </sheetView>
  </sheetViews>
  <sheetFormatPr defaultColWidth="3.54296875" defaultRowHeight="14.5" x14ac:dyDescent="0.35"/>
  <cols>
    <col min="1" max="1" width="3.54296875" style="28" customWidth="1"/>
    <col min="2" max="2" width="4.7265625" style="28" customWidth="1"/>
    <col min="3" max="7" width="3.54296875" style="28" customWidth="1"/>
    <col min="8" max="8" width="5.1796875" style="28" customWidth="1"/>
    <col min="9" max="10" width="3.54296875" style="28" customWidth="1"/>
    <col min="11" max="11" width="5.453125" style="28" bestFit="1" customWidth="1"/>
    <col min="12" max="13" width="3.54296875" style="28" customWidth="1"/>
    <col min="14" max="14" width="5.1796875" style="28" customWidth="1"/>
    <col min="15" max="15" width="3.54296875" style="28" customWidth="1"/>
    <col min="16" max="16" width="3.54296875" style="29" customWidth="1"/>
    <col min="17" max="17" width="3.54296875" style="28" customWidth="1"/>
    <col min="18" max="18" width="4.453125" style="28" customWidth="1"/>
    <col min="19" max="23" width="3.54296875" style="28" customWidth="1"/>
    <col min="24" max="24" width="4.54296875" style="28" customWidth="1"/>
    <col min="25" max="27" width="3.54296875" style="28" customWidth="1"/>
    <col min="28" max="28" width="5.1796875" style="28" customWidth="1"/>
    <col min="29" max="29" width="6.7265625" style="28" customWidth="1"/>
    <col min="30" max="30" width="7.1796875" style="28" customWidth="1"/>
    <col min="31" max="31" width="3.54296875" style="28" customWidth="1"/>
    <col min="32" max="33" width="4.54296875" style="28" customWidth="1"/>
    <col min="34" max="34" width="3.54296875" style="28" customWidth="1"/>
    <col min="35" max="35" width="8" style="28" customWidth="1"/>
    <col min="36" max="36" width="4.26953125" style="28" customWidth="1"/>
    <col min="37" max="37" width="5.453125" style="28" customWidth="1"/>
    <col min="38" max="38" width="4.26953125" style="28" bestFit="1" customWidth="1"/>
    <col min="39" max="74" width="3.54296875" style="28" customWidth="1"/>
    <col min="75" max="16384" width="3.54296875" style="28"/>
  </cols>
  <sheetData>
    <row r="1" spans="1:43" s="70" customFormat="1" ht="15" customHeight="1" x14ac:dyDescent="0.35">
      <c r="A1" s="344" t="s">
        <v>161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</row>
    <row r="2" spans="1:43" s="70" customFormat="1" ht="15" customHeight="1" x14ac:dyDescent="0.35">
      <c r="A2" s="344" t="s">
        <v>160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</row>
    <row r="3" spans="1:43" s="70" customFormat="1" ht="15" customHeight="1" x14ac:dyDescent="0.3">
      <c r="A3" s="73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</row>
    <row r="4" spans="1:43" s="70" customFormat="1" ht="15" customHeight="1" x14ac:dyDescent="0.3">
      <c r="A4" s="72" t="s">
        <v>136</v>
      </c>
      <c r="B4" s="72" t="s">
        <v>137</v>
      </c>
      <c r="C4" s="74"/>
      <c r="D4" s="74"/>
      <c r="E4" s="74"/>
      <c r="F4" s="74"/>
      <c r="G4" s="74"/>
      <c r="H4" s="74"/>
      <c r="J4" s="72" t="s">
        <v>10</v>
      </c>
      <c r="K4" s="74"/>
      <c r="L4" s="66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spans="1:43" s="70" customFormat="1" ht="15" customHeight="1" x14ac:dyDescent="0.3">
      <c r="A5" s="72"/>
      <c r="B5" s="74" t="s">
        <v>138</v>
      </c>
      <c r="C5" s="74"/>
      <c r="D5" s="74"/>
      <c r="E5" s="74"/>
      <c r="F5" s="74"/>
      <c r="G5" s="74"/>
      <c r="H5" s="74"/>
      <c r="I5" s="74"/>
      <c r="J5" s="74"/>
      <c r="K5" s="72" t="s">
        <v>10</v>
      </c>
      <c r="L5" s="66" t="str">
        <f>'LK isi'!L8</f>
        <v>RS. SANTA MARIA PEKANBARU</v>
      </c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</row>
    <row r="6" spans="1:43" s="70" customFormat="1" ht="15" customHeight="1" x14ac:dyDescent="0.3">
      <c r="A6" s="72"/>
      <c r="B6" s="74" t="s">
        <v>139</v>
      </c>
      <c r="C6" s="74"/>
      <c r="D6" s="74"/>
      <c r="E6" s="74"/>
      <c r="F6" s="74"/>
      <c r="G6" s="74"/>
      <c r="H6" s="74"/>
      <c r="I6" s="74"/>
      <c r="J6" s="74"/>
      <c r="K6" s="72" t="s">
        <v>10</v>
      </c>
      <c r="L6" s="66">
        <f>'LK isi'!L9</f>
        <v>0</v>
      </c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</row>
    <row r="7" spans="1:43" s="70" customFormat="1" ht="15" customHeight="1" x14ac:dyDescent="0.3">
      <c r="B7" s="71"/>
      <c r="C7" s="71"/>
      <c r="D7" s="71"/>
      <c r="E7" s="71"/>
      <c r="F7" s="72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</row>
    <row r="8" spans="1:43" s="70" customFormat="1" ht="15" customHeight="1" x14ac:dyDescent="0.3">
      <c r="A8" s="72" t="s">
        <v>140</v>
      </c>
      <c r="B8" s="72" t="s">
        <v>141</v>
      </c>
      <c r="C8" s="72"/>
      <c r="D8" s="72"/>
      <c r="E8" s="72" t="s">
        <v>10</v>
      </c>
      <c r="F8" s="72"/>
      <c r="G8" s="72"/>
      <c r="H8" s="72"/>
      <c r="J8" s="74"/>
      <c r="T8" s="66"/>
    </row>
    <row r="9" spans="1:43" s="70" customFormat="1" ht="15" customHeight="1" x14ac:dyDescent="0.3">
      <c r="A9" s="74"/>
      <c r="B9" s="76" t="s">
        <v>32</v>
      </c>
      <c r="C9" s="74" t="s">
        <v>142</v>
      </c>
      <c r="D9" s="74"/>
      <c r="E9" s="74"/>
      <c r="F9" s="74"/>
      <c r="G9" s="74"/>
      <c r="H9" s="74" t="s">
        <v>10</v>
      </c>
      <c r="I9" s="72" t="str">
        <f>'LK isi'!I12</f>
        <v>BELMONT</v>
      </c>
      <c r="J9" s="72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</row>
    <row r="10" spans="1:43" s="70" customFormat="1" ht="15" customHeight="1" x14ac:dyDescent="0.3">
      <c r="A10" s="74"/>
      <c r="B10" s="76" t="s">
        <v>34</v>
      </c>
      <c r="C10" s="74" t="s">
        <v>143</v>
      </c>
      <c r="D10" s="74"/>
      <c r="E10" s="74"/>
      <c r="F10" s="74"/>
      <c r="G10" s="74"/>
      <c r="H10" s="74" t="s">
        <v>10</v>
      </c>
      <c r="I10" s="72" t="str">
        <f>'LK isi'!I13</f>
        <v>CALISTA II</v>
      </c>
      <c r="J10" s="72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</row>
    <row r="11" spans="1:43" s="70" customFormat="1" ht="15" customHeight="1" x14ac:dyDescent="0.3">
      <c r="A11" s="74"/>
      <c r="B11" s="76" t="s">
        <v>41</v>
      </c>
      <c r="C11" s="74" t="s">
        <v>144</v>
      </c>
      <c r="D11" s="74"/>
      <c r="E11" s="74"/>
      <c r="F11" s="74"/>
      <c r="G11" s="74"/>
      <c r="H11" s="74" t="s">
        <v>10</v>
      </c>
      <c r="I11" s="72" t="str">
        <f>'LK isi'!I14</f>
        <v>48569</v>
      </c>
      <c r="J11" s="72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43" s="70" customFormat="1" ht="15" customHeight="1" x14ac:dyDescent="0.3">
      <c r="A12" s="74"/>
      <c r="B12" s="76" t="s">
        <v>42</v>
      </c>
      <c r="C12" s="74" t="s">
        <v>59</v>
      </c>
      <c r="D12" s="74"/>
      <c r="E12" s="74"/>
      <c r="F12" s="74"/>
      <c r="G12" s="74"/>
      <c r="H12" s="74" t="s">
        <v>10</v>
      </c>
      <c r="I12" s="72" t="str">
        <f>'LK isi'!I15</f>
        <v>Ruang Poli Gigi</v>
      </c>
      <c r="J12" s="72"/>
      <c r="K12" s="66"/>
      <c r="L12" s="66"/>
      <c r="P12" s="73"/>
    </row>
    <row r="13" spans="1:43" s="70" customFormat="1" ht="15" customHeight="1" x14ac:dyDescent="0.3">
      <c r="A13" s="74"/>
      <c r="B13" s="76" t="s">
        <v>43</v>
      </c>
      <c r="C13" s="74" t="s">
        <v>145</v>
      </c>
      <c r="D13" s="74"/>
      <c r="E13" s="74"/>
      <c r="F13" s="74"/>
      <c r="G13" s="74"/>
      <c r="H13" s="74" t="s">
        <v>10</v>
      </c>
      <c r="I13" s="72" t="str">
        <f>'LK isi'!I16</f>
        <v>Poli Gigi</v>
      </c>
      <c r="J13" s="72"/>
      <c r="K13" s="72"/>
      <c r="L13" s="72"/>
      <c r="M13" s="74"/>
      <c r="N13" s="74"/>
      <c r="O13" s="73"/>
      <c r="U13" s="74"/>
      <c r="V13" s="74"/>
      <c r="W13" s="74"/>
      <c r="X13" s="74"/>
    </row>
    <row r="14" spans="1:43" s="70" customFormat="1" ht="15" customHeight="1" x14ac:dyDescent="0.3">
      <c r="A14" s="74"/>
      <c r="B14" s="76" t="s">
        <v>44</v>
      </c>
      <c r="C14" s="74" t="s">
        <v>3</v>
      </c>
      <c r="D14" s="74"/>
      <c r="E14" s="74"/>
      <c r="F14" s="74"/>
      <c r="G14" s="74"/>
      <c r="H14" s="74" t="s">
        <v>10</v>
      </c>
      <c r="I14" s="558" t="str">
        <f>'LK isi'!I17</f>
        <v>11 Desember 2022</v>
      </c>
      <c r="J14" s="558"/>
      <c r="K14" s="558"/>
      <c r="L14" s="558"/>
      <c r="M14" s="74"/>
      <c r="N14" s="74"/>
      <c r="O14" s="73"/>
      <c r="U14" s="74"/>
      <c r="V14" s="74"/>
      <c r="W14" s="74"/>
      <c r="X14" s="74"/>
    </row>
    <row r="15" spans="1:43" s="70" customFormat="1" ht="15" customHeight="1" x14ac:dyDescent="0.3">
      <c r="N15" s="73"/>
      <c r="O15" s="73"/>
    </row>
    <row r="16" spans="1:43" s="70" customFormat="1" ht="15" customHeight="1" x14ac:dyDescent="0.3">
      <c r="A16" s="72" t="s">
        <v>146</v>
      </c>
      <c r="B16" s="72" t="s">
        <v>147</v>
      </c>
      <c r="C16" s="72"/>
      <c r="D16" s="72"/>
      <c r="E16" s="72"/>
      <c r="F16" s="72"/>
      <c r="G16" s="72"/>
      <c r="H16" s="72" t="s">
        <v>10</v>
      </c>
      <c r="U16" s="73"/>
    </row>
    <row r="17" spans="1:27" s="70" customFormat="1" ht="15" customHeight="1" x14ac:dyDescent="0.3">
      <c r="B17" s="77" t="s">
        <v>51</v>
      </c>
      <c r="C17" s="345" t="s">
        <v>4</v>
      </c>
      <c r="D17" s="345"/>
      <c r="E17" s="345"/>
      <c r="F17" s="345"/>
      <c r="G17" s="345"/>
      <c r="H17" s="345"/>
      <c r="I17" s="345"/>
      <c r="J17" s="345"/>
      <c r="K17" s="345"/>
      <c r="L17" s="345" t="s">
        <v>0</v>
      </c>
      <c r="M17" s="345"/>
      <c r="N17" s="345"/>
      <c r="O17" s="345"/>
      <c r="P17" s="345"/>
      <c r="Q17" s="345" t="s">
        <v>1</v>
      </c>
      <c r="R17" s="345"/>
      <c r="S17" s="345"/>
      <c r="T17" s="345"/>
      <c r="U17" s="345" t="s">
        <v>56</v>
      </c>
      <c r="V17" s="345"/>
      <c r="W17" s="345"/>
      <c r="X17" s="345"/>
    </row>
    <row r="18" spans="1:27" s="70" customFormat="1" ht="15" customHeight="1" x14ac:dyDescent="0.3">
      <c r="B18" s="80">
        <v>1</v>
      </c>
      <c r="C18" s="371" t="str">
        <f>'LK isi'!C23:J23</f>
        <v>Lux Meter</v>
      </c>
      <c r="D18" s="371"/>
      <c r="E18" s="371"/>
      <c r="F18" s="371"/>
      <c r="G18" s="371"/>
      <c r="H18" s="371"/>
      <c r="I18" s="371"/>
      <c r="J18" s="371"/>
      <c r="K18" s="371"/>
      <c r="L18" s="373" t="str">
        <f>'LK isi'!K23</f>
        <v>Kimo</v>
      </c>
      <c r="M18" s="373"/>
      <c r="N18" s="373"/>
      <c r="O18" s="373"/>
      <c r="P18" s="373"/>
      <c r="Q18" s="373" t="str">
        <f>'LK isi'!P23</f>
        <v>LX 200</v>
      </c>
      <c r="R18" s="373"/>
      <c r="S18" s="373"/>
      <c r="T18" s="373"/>
      <c r="U18" s="373">
        <f>'LK isi'!T23</f>
        <v>21110978</v>
      </c>
      <c r="V18" s="373"/>
      <c r="W18" s="373"/>
      <c r="X18" s="373"/>
    </row>
    <row r="19" spans="1:27" s="70" customFormat="1" ht="15" customHeight="1" x14ac:dyDescent="0.3">
      <c r="B19" s="84">
        <f>B18+1</f>
        <v>2</v>
      </c>
      <c r="C19" s="334" t="str">
        <f>'LK isi'!C24:J24</f>
        <v>Electrical Safety Analyzer</v>
      </c>
      <c r="D19" s="334"/>
      <c r="E19" s="334"/>
      <c r="F19" s="334"/>
      <c r="G19" s="334"/>
      <c r="H19" s="334"/>
      <c r="I19" s="334"/>
      <c r="J19" s="334"/>
      <c r="K19" s="334"/>
      <c r="L19" s="373" t="str">
        <f>'LK isi'!K24</f>
        <v>Fluke</v>
      </c>
      <c r="M19" s="373"/>
      <c r="N19" s="373"/>
      <c r="O19" s="373"/>
      <c r="P19" s="373"/>
      <c r="Q19" s="373" t="str">
        <f>'LK isi'!P24</f>
        <v>ESA 615</v>
      </c>
      <c r="R19" s="373"/>
      <c r="S19" s="373"/>
      <c r="T19" s="373"/>
      <c r="U19" s="373">
        <f>'LK isi'!T24</f>
        <v>4427051</v>
      </c>
      <c r="V19" s="373"/>
      <c r="W19" s="373"/>
      <c r="X19" s="373"/>
    </row>
    <row r="20" spans="1:27" s="70" customFormat="1" ht="15" customHeight="1" x14ac:dyDescent="0.3">
      <c r="B20" s="84">
        <v>3</v>
      </c>
      <c r="C20" s="334" t="str">
        <f>'LK isi'!C25:J25</f>
        <v>Thermohygrometer</v>
      </c>
      <c r="D20" s="334"/>
      <c r="E20" s="334"/>
      <c r="F20" s="334"/>
      <c r="G20" s="334"/>
      <c r="H20" s="334"/>
      <c r="I20" s="334"/>
      <c r="J20" s="334"/>
      <c r="K20" s="334"/>
      <c r="L20" s="373" t="str">
        <f>'LK isi'!K25</f>
        <v>BK Precision</v>
      </c>
      <c r="M20" s="373"/>
      <c r="N20" s="373"/>
      <c r="O20" s="373"/>
      <c r="P20" s="373"/>
      <c r="Q20" s="373">
        <f>'LK isi'!P25</f>
        <v>725</v>
      </c>
      <c r="R20" s="373"/>
      <c r="S20" s="373"/>
      <c r="T20" s="373"/>
      <c r="U20" s="373" t="str">
        <f>'LK isi'!T25</f>
        <v>117C21114</v>
      </c>
      <c r="V20" s="373"/>
      <c r="W20" s="373"/>
      <c r="X20" s="373"/>
    </row>
    <row r="21" spans="1:27" s="70" customFormat="1" ht="15" customHeight="1" x14ac:dyDescent="0.3">
      <c r="B21" s="84">
        <v>4</v>
      </c>
      <c r="C21" s="334" t="str">
        <f>'LK isi'!C26:J26</f>
        <v>Meteran</v>
      </c>
      <c r="D21" s="334"/>
      <c r="E21" s="334"/>
      <c r="F21" s="334"/>
      <c r="G21" s="334"/>
      <c r="H21" s="334"/>
      <c r="I21" s="334"/>
      <c r="J21" s="334"/>
      <c r="K21" s="334"/>
      <c r="L21" s="373" t="str">
        <f>'LK isi'!K26</f>
        <v>-</v>
      </c>
      <c r="M21" s="373"/>
      <c r="N21" s="373"/>
      <c r="O21" s="373"/>
      <c r="P21" s="373"/>
      <c r="Q21" s="373" t="str">
        <f>'LK isi'!P26</f>
        <v>-</v>
      </c>
      <c r="R21" s="373"/>
      <c r="S21" s="373"/>
      <c r="T21" s="373"/>
      <c r="U21" s="373" t="str">
        <f>'LK isi'!T26</f>
        <v>-</v>
      </c>
      <c r="V21" s="373"/>
      <c r="W21" s="373"/>
      <c r="X21" s="373"/>
    </row>
    <row r="22" spans="1:27" s="70" customFormat="1" ht="15" customHeight="1" x14ac:dyDescent="0.3">
      <c r="C22" s="79"/>
      <c r="D22" s="79"/>
      <c r="E22" s="79"/>
      <c r="F22" s="79"/>
      <c r="G22" s="79"/>
      <c r="H22" s="79"/>
      <c r="I22" s="79"/>
      <c r="J22" s="79"/>
      <c r="K22" s="79"/>
    </row>
    <row r="23" spans="1:27" s="70" customFormat="1" ht="15" customHeight="1" x14ac:dyDescent="0.3">
      <c r="A23" s="66" t="s">
        <v>148</v>
      </c>
      <c r="B23" s="66" t="s">
        <v>149</v>
      </c>
      <c r="C23" s="74"/>
      <c r="D23" s="74"/>
      <c r="E23" s="74"/>
      <c r="F23" s="74"/>
      <c r="G23" s="74"/>
      <c r="H23" s="74"/>
      <c r="I23" s="72" t="s">
        <v>10</v>
      </c>
      <c r="N23" s="73"/>
      <c r="O23" s="73"/>
    </row>
    <row r="24" spans="1:27" s="70" customFormat="1" ht="27" customHeight="1" x14ac:dyDescent="0.3">
      <c r="B24" s="132" t="s">
        <v>51</v>
      </c>
      <c r="C24" s="440" t="s">
        <v>38</v>
      </c>
      <c r="D24" s="440"/>
      <c r="E24" s="440"/>
      <c r="F24" s="440"/>
      <c r="G24" s="440"/>
      <c r="H24" s="440"/>
      <c r="I24" s="440"/>
      <c r="J24" s="559" t="s">
        <v>129</v>
      </c>
      <c r="K24" s="560"/>
      <c r="L24" s="560"/>
      <c r="M24" s="561"/>
      <c r="N24" s="559" t="s">
        <v>130</v>
      </c>
      <c r="O24" s="560"/>
      <c r="P24" s="560"/>
      <c r="Q24" s="561"/>
      <c r="R24" s="559" t="s">
        <v>131</v>
      </c>
      <c r="S24" s="560"/>
      <c r="T24" s="561"/>
      <c r="U24" s="562" t="s">
        <v>132</v>
      </c>
      <c r="V24" s="563"/>
      <c r="W24" s="564"/>
      <c r="X24" s="559" t="s">
        <v>133</v>
      </c>
      <c r="Y24" s="560"/>
      <c r="Z24" s="561"/>
    </row>
    <row r="25" spans="1:27" s="70" customFormat="1" ht="15" customHeight="1" x14ac:dyDescent="0.3">
      <c r="B25" s="78">
        <v>1</v>
      </c>
      <c r="C25" s="512" t="str">
        <f>'LK isi'!C29</f>
        <v>Temperatur Ruangan</v>
      </c>
      <c r="D25" s="512"/>
      <c r="E25" s="512"/>
      <c r="F25" s="512"/>
      <c r="G25" s="512"/>
      <c r="H25" s="512"/>
      <c r="I25" s="512"/>
      <c r="J25" s="565">
        <f>'LK isi'!N29</f>
        <v>26.5</v>
      </c>
      <c r="K25" s="565"/>
      <c r="L25" s="565" t="str">
        <f>'LK isi'!P29</f>
        <v>°C</v>
      </c>
      <c r="M25" s="565"/>
      <c r="N25" s="565">
        <f>'LK isi'!U29</f>
        <v>26.7</v>
      </c>
      <c r="O25" s="565"/>
      <c r="P25" s="565" t="str">
        <f>'LK isi'!W29</f>
        <v>°C</v>
      </c>
      <c r="Q25" s="565"/>
      <c r="R25" s="503">
        <f>AVERAGE(J25,N25)</f>
        <v>26.6</v>
      </c>
      <c r="S25" s="504"/>
      <c r="T25" s="505"/>
      <c r="U25" s="506">
        <f>'serti thermohygro'!M15+'serti thermohygro'!L15*'olah data'!R25</f>
        <v>26.628550926031391</v>
      </c>
      <c r="V25" s="507"/>
      <c r="W25" s="508"/>
      <c r="X25" s="509">
        <f>'serti thermohygro'!P15</f>
        <v>0.5</v>
      </c>
      <c r="Y25" s="510"/>
      <c r="Z25" s="511"/>
    </row>
    <row r="26" spans="1:27" s="70" customFormat="1" ht="15" customHeight="1" x14ac:dyDescent="0.3">
      <c r="B26" s="78">
        <f>B25+1</f>
        <v>2</v>
      </c>
      <c r="C26" s="512" t="str">
        <f>'LK isi'!C30</f>
        <v>Kelembaban Ruangan</v>
      </c>
      <c r="D26" s="512"/>
      <c r="E26" s="512"/>
      <c r="F26" s="512"/>
      <c r="G26" s="512"/>
      <c r="H26" s="512"/>
      <c r="I26" s="512"/>
      <c r="J26" s="513">
        <f>'LK isi'!N30</f>
        <v>68.900000000000006</v>
      </c>
      <c r="K26" s="513"/>
      <c r="L26" s="565" t="str">
        <f>'LK isi'!P30</f>
        <v>%RH</v>
      </c>
      <c r="M26" s="565"/>
      <c r="N26" s="565">
        <f>'LK isi'!U30</f>
        <v>68.7</v>
      </c>
      <c r="O26" s="565"/>
      <c r="P26" s="565" t="str">
        <f>'LK isi'!W30</f>
        <v>%RH</v>
      </c>
      <c r="Q26" s="565"/>
      <c r="R26" s="566">
        <f>AVERAGE(J26,N26)</f>
        <v>68.800000000000011</v>
      </c>
      <c r="S26" s="567"/>
      <c r="T26" s="568"/>
      <c r="U26" s="506">
        <f>'serti thermohygro'!O15+'serti thermohygro'!N15*'olah data'!R26</f>
        <v>69.715334708042036</v>
      </c>
      <c r="V26" s="507"/>
      <c r="W26" s="508"/>
      <c r="X26" s="509">
        <f>'serti thermohygro'!Q15</f>
        <v>2.2999999999999998</v>
      </c>
      <c r="Y26" s="510"/>
      <c r="Z26" s="511"/>
    </row>
    <row r="27" spans="1:27" s="70" customFormat="1" ht="15" customHeight="1" x14ac:dyDescent="0.3">
      <c r="B27" s="92">
        <v>3</v>
      </c>
      <c r="C27" s="115" t="str">
        <f>'LK isi'!C31</f>
        <v>Tegangan Input</v>
      </c>
      <c r="D27" s="116"/>
      <c r="E27" s="116"/>
      <c r="F27" s="116"/>
      <c r="G27" s="116"/>
      <c r="H27" s="116"/>
      <c r="I27" s="117"/>
      <c r="J27" s="552">
        <f>'LK isi'!N31</f>
        <v>220.4</v>
      </c>
      <c r="K27" s="553"/>
      <c r="L27" s="553"/>
      <c r="M27" s="553"/>
      <c r="N27" s="553"/>
      <c r="O27" s="553"/>
      <c r="P27" s="553"/>
      <c r="Q27" s="554"/>
      <c r="R27" s="545" t="str">
        <f>'LK isi'!P31</f>
        <v>Vac</v>
      </c>
      <c r="S27" s="546"/>
      <c r="T27" s="547"/>
      <c r="U27" s="542">
        <f>esa!M9+esa!L9*'olah data'!J27</f>
        <v>220.0735495145631</v>
      </c>
      <c r="V27" s="543"/>
      <c r="W27" s="544"/>
      <c r="X27" s="545">
        <f>esa!N9</f>
        <v>1.2</v>
      </c>
      <c r="Y27" s="546"/>
      <c r="Z27" s="547"/>
    </row>
    <row r="28" spans="1:27" s="70" customFormat="1" ht="15" customHeight="1" x14ac:dyDescent="0.3">
      <c r="B28" s="103"/>
      <c r="C28" s="116"/>
      <c r="D28" s="116"/>
      <c r="E28" s="116"/>
      <c r="F28" s="116"/>
      <c r="G28" s="116"/>
      <c r="H28" s="116"/>
      <c r="I28" s="116"/>
      <c r="J28" s="122"/>
      <c r="K28" s="122"/>
      <c r="L28" s="122"/>
      <c r="M28" s="122"/>
      <c r="N28" s="122"/>
      <c r="O28" s="122"/>
      <c r="P28" s="122"/>
      <c r="Q28" s="122"/>
      <c r="R28" s="123"/>
      <c r="S28" s="123"/>
      <c r="T28" s="123"/>
      <c r="U28" s="124"/>
      <c r="V28" s="124"/>
      <c r="W28" s="124"/>
      <c r="X28" s="123"/>
      <c r="Y28" s="123"/>
      <c r="Z28" s="123"/>
    </row>
    <row r="29" spans="1:27" s="88" customFormat="1" ht="15" customHeight="1" x14ac:dyDescent="0.3">
      <c r="A29" s="71" t="s">
        <v>150</v>
      </c>
      <c r="B29" s="71" t="s">
        <v>151</v>
      </c>
      <c r="C29" s="74"/>
      <c r="D29" s="74"/>
      <c r="E29" s="74"/>
      <c r="F29" s="74"/>
      <c r="G29" s="74"/>
      <c r="H29" s="74"/>
      <c r="I29" s="74"/>
      <c r="J29" s="74"/>
      <c r="K29" s="74"/>
      <c r="L29" s="66" t="s">
        <v>10</v>
      </c>
      <c r="U29" s="89"/>
    </row>
    <row r="30" spans="1:27" s="91" customFormat="1" ht="15" customHeight="1" x14ac:dyDescent="0.35">
      <c r="B30" s="134" t="s">
        <v>37</v>
      </c>
      <c r="C30" s="548" t="s">
        <v>38</v>
      </c>
      <c r="D30" s="549"/>
      <c r="E30" s="549"/>
      <c r="F30" s="549"/>
      <c r="G30" s="549"/>
      <c r="H30" s="549"/>
      <c r="I30" s="549"/>
      <c r="J30" s="550"/>
      <c r="K30" s="339" t="s">
        <v>66</v>
      </c>
      <c r="L30" s="339"/>
      <c r="M30" s="339"/>
      <c r="N30" s="339"/>
      <c r="O30" s="540" t="s">
        <v>47</v>
      </c>
      <c r="P30" s="540"/>
      <c r="Q30" s="540"/>
      <c r="R30" s="540"/>
      <c r="S30" s="540" t="s">
        <v>113</v>
      </c>
      <c r="T30" s="540"/>
      <c r="U30" s="540"/>
      <c r="V30" s="540"/>
      <c r="W30" s="125"/>
      <c r="X30" s="119"/>
      <c r="Y30" s="119"/>
      <c r="Z30" s="119"/>
      <c r="AA30" s="118"/>
    </row>
    <row r="31" spans="1:27" s="91" customFormat="1" ht="15" customHeight="1" x14ac:dyDescent="0.3">
      <c r="B31" s="78">
        <v>1</v>
      </c>
      <c r="C31" s="362" t="str">
        <f>'LK isi'!C35:G35</f>
        <v>Badan dan permukaan</v>
      </c>
      <c r="D31" s="363"/>
      <c r="E31" s="363"/>
      <c r="F31" s="363"/>
      <c r="G31" s="363"/>
      <c r="H31" s="363"/>
      <c r="I31" s="363"/>
      <c r="J31" s="364"/>
      <c r="K31" s="335" t="str">
        <f>IF('LK isi'!$U$35=1,"baik","tidak baik")</f>
        <v>baik</v>
      </c>
      <c r="L31" s="335"/>
      <c r="M31" s="335"/>
      <c r="N31" s="335"/>
      <c r="O31" s="515">
        <f>(COUNTIF(K31:N37,"baik")/(COUNTA(K31:N37))*10)</f>
        <v>10</v>
      </c>
      <c r="P31" s="516"/>
      <c r="Q31" s="516"/>
      <c r="R31" s="517"/>
      <c r="S31" s="521" t="str">
        <f>IF(O31&gt;=10,"Baik","Tidak Baik")</f>
        <v>Baik</v>
      </c>
      <c r="T31" s="522"/>
      <c r="U31" s="522"/>
      <c r="V31" s="523"/>
      <c r="W31" s="126"/>
      <c r="X31" s="127"/>
      <c r="Y31" s="127"/>
      <c r="Z31" s="127"/>
      <c r="AA31" s="127"/>
    </row>
    <row r="32" spans="1:27" s="88" customFormat="1" ht="15" customHeight="1" x14ac:dyDescent="0.3">
      <c r="B32" s="78">
        <f>B31+1</f>
        <v>2</v>
      </c>
      <c r="C32" s="362" t="str">
        <f>'LK isi'!C36:G36</f>
        <v>Kotak kontak alat</v>
      </c>
      <c r="D32" s="363"/>
      <c r="E32" s="363"/>
      <c r="F32" s="363"/>
      <c r="G32" s="363"/>
      <c r="H32" s="363"/>
      <c r="I32" s="363"/>
      <c r="J32" s="364"/>
      <c r="K32" s="335" t="str">
        <f>IF('LK isi'!$U$35=1,"baik","tidak baik")</f>
        <v>baik</v>
      </c>
      <c r="L32" s="335"/>
      <c r="M32" s="335"/>
      <c r="N32" s="335"/>
      <c r="O32" s="518"/>
      <c r="P32" s="519"/>
      <c r="Q32" s="519"/>
      <c r="R32" s="520"/>
      <c r="S32" s="524"/>
      <c r="T32" s="525"/>
      <c r="U32" s="525"/>
      <c r="V32" s="526"/>
      <c r="W32" s="126"/>
      <c r="X32" s="127"/>
      <c r="Y32" s="127"/>
      <c r="Z32" s="127"/>
      <c r="AA32" s="127"/>
    </row>
    <row r="33" spans="1:39" s="88" customFormat="1" ht="15" customHeight="1" x14ac:dyDescent="0.3">
      <c r="B33" s="78">
        <f t="shared" ref="B33:B37" si="0">B32+1</f>
        <v>3</v>
      </c>
      <c r="C33" s="362" t="str">
        <f>'LK isi'!C37:G37</f>
        <v>Kabel catu utama</v>
      </c>
      <c r="D33" s="363"/>
      <c r="E33" s="363"/>
      <c r="F33" s="363"/>
      <c r="G33" s="363"/>
      <c r="H33" s="363"/>
      <c r="I33" s="363"/>
      <c r="J33" s="364"/>
      <c r="K33" s="335" t="str">
        <f>IF('LK isi'!$U$35=1,"baik","tidak baik")</f>
        <v>baik</v>
      </c>
      <c r="L33" s="335"/>
      <c r="M33" s="335"/>
      <c r="N33" s="335"/>
      <c r="O33" s="518"/>
      <c r="P33" s="519"/>
      <c r="Q33" s="519"/>
      <c r="R33" s="520"/>
      <c r="S33" s="524"/>
      <c r="T33" s="525"/>
      <c r="U33" s="525"/>
      <c r="V33" s="526"/>
      <c r="W33" s="126"/>
      <c r="X33" s="127"/>
      <c r="Y33" s="127"/>
      <c r="Z33" s="127"/>
      <c r="AA33" s="127"/>
    </row>
    <row r="34" spans="1:39" s="88" customFormat="1" ht="15" customHeight="1" x14ac:dyDescent="0.3">
      <c r="B34" s="78">
        <f t="shared" si="0"/>
        <v>4</v>
      </c>
      <c r="C34" s="362" t="str">
        <f>'LK isi'!C38:G38</f>
        <v>Lampu dan Reflektor</v>
      </c>
      <c r="D34" s="363"/>
      <c r="E34" s="363"/>
      <c r="F34" s="363"/>
      <c r="G34" s="363"/>
      <c r="H34" s="363"/>
      <c r="I34" s="363"/>
      <c r="J34" s="364"/>
      <c r="K34" s="335" t="str">
        <f>IF('LK isi'!$U$35=1,"baik","tidak baik")</f>
        <v>baik</v>
      </c>
      <c r="L34" s="335"/>
      <c r="M34" s="335"/>
      <c r="N34" s="335"/>
      <c r="O34" s="518"/>
      <c r="P34" s="519"/>
      <c r="Q34" s="519"/>
      <c r="R34" s="520"/>
      <c r="S34" s="524"/>
      <c r="T34" s="525"/>
      <c r="U34" s="525"/>
      <c r="V34" s="526"/>
      <c r="W34" s="126"/>
      <c r="X34" s="127"/>
      <c r="Y34" s="127"/>
      <c r="Z34" s="127"/>
      <c r="AA34" s="127"/>
    </row>
    <row r="35" spans="1:39" s="88" customFormat="1" ht="22.5" customHeight="1" x14ac:dyDescent="0.3">
      <c r="B35" s="78">
        <f t="shared" si="0"/>
        <v>5</v>
      </c>
      <c r="C35" s="362" t="str">
        <f>'LK isi'!C39:G39</f>
        <v>Tombol, saklar, dan kontrol</v>
      </c>
      <c r="D35" s="363"/>
      <c r="E35" s="363"/>
      <c r="F35" s="363"/>
      <c r="G35" s="363"/>
      <c r="H35" s="363"/>
      <c r="I35" s="363"/>
      <c r="J35" s="364"/>
      <c r="K35" s="335" t="str">
        <f>IF('LK isi'!$U$35=1,"baik","tidak baik")</f>
        <v>baik</v>
      </c>
      <c r="L35" s="335"/>
      <c r="M35" s="335"/>
      <c r="N35" s="335"/>
      <c r="O35" s="518"/>
      <c r="P35" s="519"/>
      <c r="Q35" s="519"/>
      <c r="R35" s="520"/>
      <c r="S35" s="524"/>
      <c r="T35" s="525"/>
      <c r="U35" s="525"/>
      <c r="V35" s="526"/>
      <c r="W35" s="126"/>
      <c r="X35" s="127"/>
      <c r="Y35" s="127"/>
      <c r="Z35" s="127"/>
      <c r="AA35" s="127"/>
    </row>
    <row r="36" spans="1:39" s="88" customFormat="1" ht="15" customHeight="1" x14ac:dyDescent="0.3">
      <c r="B36" s="78">
        <f t="shared" si="0"/>
        <v>6</v>
      </c>
      <c r="C36" s="362" t="str">
        <f>'LK isi'!C40:G40</f>
        <v>Tombol fungsi Light Source</v>
      </c>
      <c r="D36" s="363"/>
      <c r="E36" s="363"/>
      <c r="F36" s="363"/>
      <c r="G36" s="363"/>
      <c r="H36" s="363"/>
      <c r="I36" s="363"/>
      <c r="J36" s="364"/>
      <c r="K36" s="335" t="str">
        <f>IF('LK isi'!$U$35=1,"baik","tidak baik")</f>
        <v>baik</v>
      </c>
      <c r="L36" s="335"/>
      <c r="M36" s="335"/>
      <c r="N36" s="335"/>
      <c r="O36" s="518"/>
      <c r="P36" s="519"/>
      <c r="Q36" s="519"/>
      <c r="R36" s="520"/>
      <c r="S36" s="524"/>
      <c r="T36" s="525"/>
      <c r="U36" s="525"/>
      <c r="V36" s="526"/>
      <c r="W36" s="126"/>
      <c r="X36" s="127"/>
      <c r="Y36" s="127"/>
      <c r="Z36" s="127"/>
      <c r="AA36" s="127"/>
    </row>
    <row r="37" spans="1:39" s="88" customFormat="1" ht="15" customHeight="1" x14ac:dyDescent="0.3">
      <c r="B37" s="78">
        <f t="shared" si="0"/>
        <v>7</v>
      </c>
      <c r="C37" s="362" t="str">
        <f>'LK isi'!C41:G41</f>
        <v>Tampilan dan Indikator</v>
      </c>
      <c r="D37" s="363"/>
      <c r="E37" s="363"/>
      <c r="F37" s="363"/>
      <c r="G37" s="363"/>
      <c r="H37" s="363"/>
      <c r="I37" s="363"/>
      <c r="J37" s="364"/>
      <c r="K37" s="335" t="str">
        <f>IF('LK isi'!$U$35=1,"baik","tidak baik")</f>
        <v>baik</v>
      </c>
      <c r="L37" s="335"/>
      <c r="M37" s="335"/>
      <c r="N37" s="335"/>
      <c r="O37" s="518"/>
      <c r="P37" s="519"/>
      <c r="Q37" s="519"/>
      <c r="R37" s="520"/>
      <c r="S37" s="524"/>
      <c r="T37" s="525"/>
      <c r="U37" s="525"/>
      <c r="V37" s="526"/>
      <c r="W37" s="126"/>
      <c r="X37" s="127"/>
      <c r="Y37" s="127"/>
      <c r="Z37" s="127"/>
      <c r="AA37" s="127"/>
    </row>
    <row r="38" spans="1:39" s="88" customFormat="1" ht="15" customHeight="1" x14ac:dyDescent="0.35">
      <c r="B38" s="99"/>
      <c r="C38" s="93"/>
      <c r="D38" s="93"/>
      <c r="E38" s="93"/>
      <c r="F38" s="93"/>
      <c r="G38" s="93"/>
      <c r="H38" s="93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94"/>
      <c r="W38" s="95"/>
      <c r="X38" s="95"/>
      <c r="AA38" s="91"/>
      <c r="AB38" s="97"/>
      <c r="AC38" s="97"/>
      <c r="AD38" s="97"/>
      <c r="AE38" s="97"/>
      <c r="AF38" s="97"/>
      <c r="AG38" s="97"/>
      <c r="AH38" s="97"/>
      <c r="AI38" s="97"/>
      <c r="AJ38" s="107"/>
      <c r="AK38" s="107"/>
      <c r="AL38" s="107"/>
      <c r="AM38" s="107"/>
    </row>
    <row r="39" spans="1:39" s="70" customFormat="1" ht="15" customHeight="1" x14ac:dyDescent="0.35">
      <c r="A39" s="65" t="s">
        <v>152</v>
      </c>
      <c r="B39" s="65" t="s">
        <v>48</v>
      </c>
      <c r="C39"/>
      <c r="D39"/>
      <c r="E39"/>
      <c r="F39"/>
      <c r="G39"/>
      <c r="H39"/>
      <c r="I39"/>
      <c r="J39" t="s">
        <v>10</v>
      </c>
      <c r="P39" s="73"/>
      <c r="AA39" s="88"/>
      <c r="AB39" s="101"/>
      <c r="AC39" s="101"/>
      <c r="AD39" s="101"/>
      <c r="AE39" s="101"/>
      <c r="AF39" s="101"/>
      <c r="AG39" s="101"/>
      <c r="AH39" s="101"/>
      <c r="AI39" s="101"/>
      <c r="AJ39" s="102"/>
      <c r="AK39" s="102"/>
      <c r="AL39" s="102"/>
      <c r="AM39" s="102"/>
    </row>
    <row r="40" spans="1:39" s="70" customFormat="1" ht="26.15" customHeight="1" x14ac:dyDescent="0.3">
      <c r="B40" s="90" t="s">
        <v>51</v>
      </c>
      <c r="C40" s="408" t="s">
        <v>38</v>
      </c>
      <c r="D40" s="409"/>
      <c r="E40" s="409"/>
      <c r="F40" s="409"/>
      <c r="G40" s="409"/>
      <c r="H40" s="409"/>
      <c r="I40" s="409"/>
      <c r="J40" s="409"/>
      <c r="K40" s="409"/>
      <c r="L40" s="408" t="s">
        <v>112</v>
      </c>
      <c r="M40" s="409"/>
      <c r="N40" s="409"/>
      <c r="O40" s="409"/>
      <c r="P40" s="409"/>
      <c r="Q40" s="358" t="s">
        <v>39</v>
      </c>
      <c r="R40" s="359"/>
      <c r="S40" s="360"/>
      <c r="T40" s="339" t="s">
        <v>134</v>
      </c>
      <c r="U40" s="339"/>
      <c r="V40" s="339"/>
      <c r="W40" s="339"/>
      <c r="X40" s="339"/>
      <c r="Y40" s="339"/>
      <c r="Z40" s="339"/>
      <c r="AA40" s="540" t="s">
        <v>47</v>
      </c>
      <c r="AB40" s="540"/>
      <c r="AC40" s="540"/>
      <c r="AD40" s="540"/>
      <c r="AE40" s="540" t="s">
        <v>113</v>
      </c>
      <c r="AF40" s="540"/>
      <c r="AG40" s="540"/>
      <c r="AH40" s="540"/>
      <c r="AK40" s="102"/>
      <c r="AL40" s="102"/>
      <c r="AM40" s="102"/>
    </row>
    <row r="41" spans="1:39" s="70" customFormat="1" ht="20.149999999999999" customHeight="1" x14ac:dyDescent="0.3">
      <c r="B41" s="98">
        <v>1</v>
      </c>
      <c r="C41" s="362" t="str">
        <f>'LK isi'!C45:L45</f>
        <v xml:space="preserve">Resistansi pembumian protektif </v>
      </c>
      <c r="D41" s="363"/>
      <c r="E41" s="363"/>
      <c r="F41" s="363"/>
      <c r="G41" s="363"/>
      <c r="H41" s="363"/>
      <c r="I41" s="363"/>
      <c r="J41" s="363"/>
      <c r="K41" s="363"/>
      <c r="L41" s="555" t="str">
        <f>'LK isi'!M45</f>
        <v>-</v>
      </c>
      <c r="M41" s="551"/>
      <c r="N41" s="551"/>
      <c r="O41" s="551" t="str">
        <f>'LK isi'!P45</f>
        <v>Ω</v>
      </c>
      <c r="P41" s="551"/>
      <c r="Q41" s="128" t="s">
        <v>163</v>
      </c>
      <c r="R41" s="118">
        <v>0.3</v>
      </c>
      <c r="S41" s="129" t="s">
        <v>154</v>
      </c>
      <c r="T41" s="557" t="str">
        <f>IF(L41&lt;&gt;"-",+IF(L41&lt;=R41,"memenuhi persyaratan","tidak memenuhi persyaratan"),"memenuhi persyaratan")</f>
        <v>memenuhi persyaratan</v>
      </c>
      <c r="U41" s="557"/>
      <c r="V41" s="557"/>
      <c r="W41" s="557"/>
      <c r="X41" s="557"/>
      <c r="Y41" s="557"/>
      <c r="Z41" s="557"/>
      <c r="AA41" s="541">
        <f>(COUNTIF(T41:W43,"memenuhi persyaratan")/(COUNTA(T41:W43))*40)</f>
        <v>40</v>
      </c>
      <c r="AB41" s="541"/>
      <c r="AC41" s="541"/>
      <c r="AD41" s="541"/>
      <c r="AE41" s="541" t="str">
        <f>IF(AA41=40,"Aman atau tidak terjadi penyimpangan fungsional","Tidak Memenuhi Persyaratan")</f>
        <v>Aman atau tidak terjadi penyimpangan fungsional</v>
      </c>
      <c r="AF41" s="541"/>
      <c r="AG41" s="541"/>
      <c r="AH41" s="541"/>
      <c r="AK41" s="102"/>
      <c r="AL41" s="102"/>
      <c r="AM41" s="102"/>
    </row>
    <row r="42" spans="1:39" s="70" customFormat="1" ht="20.149999999999999" customHeight="1" x14ac:dyDescent="0.3">
      <c r="B42" s="98">
        <v>2</v>
      </c>
      <c r="C42" s="362" t="str">
        <f>'LK isi'!C46:L46</f>
        <v>Arus bocor peralatan metode langsung</v>
      </c>
      <c r="D42" s="363"/>
      <c r="E42" s="363"/>
      <c r="F42" s="363"/>
      <c r="G42" s="363"/>
      <c r="H42" s="363"/>
      <c r="I42" s="363"/>
      <c r="J42" s="363"/>
      <c r="K42" s="363"/>
      <c r="L42" s="555">
        <f>'LK isi'!M46</f>
        <v>12.4</v>
      </c>
      <c r="M42" s="551"/>
      <c r="N42" s="551"/>
      <c r="O42" s="551" t="str">
        <f>'LK isi'!P46</f>
        <v>µA</v>
      </c>
      <c r="P42" s="551"/>
      <c r="Q42" s="174" t="s">
        <v>163</v>
      </c>
      <c r="R42" s="173">
        <v>500</v>
      </c>
      <c r="S42" s="175" t="s">
        <v>85</v>
      </c>
      <c r="T42" s="557" t="str">
        <f>IF(L42&lt;=R42,"memenuhi persyaratan","tidak memenuhi persyaratan")</f>
        <v>memenuhi persyaratan</v>
      </c>
      <c r="U42" s="557"/>
      <c r="V42" s="557"/>
      <c r="W42" s="557"/>
      <c r="X42" s="557"/>
      <c r="Y42" s="557"/>
      <c r="Z42" s="557"/>
      <c r="AA42" s="541"/>
      <c r="AB42" s="541"/>
      <c r="AC42" s="541"/>
      <c r="AD42" s="541"/>
      <c r="AE42" s="541"/>
      <c r="AF42" s="541"/>
      <c r="AG42" s="541"/>
      <c r="AH42" s="541"/>
      <c r="AK42" s="102"/>
      <c r="AL42" s="102"/>
      <c r="AM42" s="102"/>
    </row>
    <row r="43" spans="1:39" s="70" customFormat="1" ht="20.149999999999999" customHeight="1" x14ac:dyDescent="0.3">
      <c r="B43" s="98">
        <v>5</v>
      </c>
      <c r="C43" s="362" t="str">
        <f>'LK isi'!C47:L47</f>
        <v>Resistansi isolasi</v>
      </c>
      <c r="D43" s="363"/>
      <c r="E43" s="363"/>
      <c r="F43" s="363"/>
      <c r="G43" s="363"/>
      <c r="H43" s="363"/>
      <c r="I43" s="363"/>
      <c r="J43" s="363"/>
      <c r="K43" s="363"/>
      <c r="L43" s="555" t="str">
        <f>'LK isi'!M47</f>
        <v>OL</v>
      </c>
      <c r="M43" s="551"/>
      <c r="N43" s="551"/>
      <c r="O43" s="551" t="str">
        <f>'LK isi'!P47</f>
        <v>MΩ</v>
      </c>
      <c r="P43" s="551"/>
      <c r="Q43" s="112" t="s">
        <v>164</v>
      </c>
      <c r="R43" s="130">
        <v>2</v>
      </c>
      <c r="S43" s="131" t="s">
        <v>110</v>
      </c>
      <c r="T43" s="557" t="str">
        <f>IF(L43&gt;=R43,"memenuhi persyaratan","tidak memenuhi persyaratan")</f>
        <v>memenuhi persyaratan</v>
      </c>
      <c r="U43" s="557"/>
      <c r="V43" s="557"/>
      <c r="W43" s="557"/>
      <c r="X43" s="557"/>
      <c r="Y43" s="557"/>
      <c r="Z43" s="557"/>
      <c r="AA43" s="541"/>
      <c r="AB43" s="541"/>
      <c r="AC43" s="541"/>
      <c r="AD43" s="541"/>
      <c r="AE43" s="541"/>
      <c r="AF43" s="541"/>
      <c r="AG43" s="541"/>
      <c r="AH43" s="541"/>
      <c r="AK43" s="102"/>
      <c r="AL43" s="102"/>
      <c r="AM43" s="102"/>
    </row>
    <row r="44" spans="1:39" s="70" customFormat="1" ht="15" customHeight="1" x14ac:dyDescent="0.3"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U44" s="96"/>
      <c r="V44" s="109"/>
      <c r="W44" s="109"/>
      <c r="AA44" s="88"/>
      <c r="AB44" s="108"/>
      <c r="AC44" s="108"/>
      <c r="AD44" s="108"/>
      <c r="AE44" s="108"/>
      <c r="AF44" s="108"/>
      <c r="AG44" s="108"/>
      <c r="AH44" s="108"/>
      <c r="AI44" s="108"/>
      <c r="AJ44" s="102"/>
    </row>
    <row r="45" spans="1:39" s="70" customFormat="1" ht="15" customHeight="1" x14ac:dyDescent="0.35">
      <c r="A45" s="65" t="s">
        <v>157</v>
      </c>
      <c r="B45" s="65" t="s">
        <v>158</v>
      </c>
      <c r="C45"/>
      <c r="D45"/>
      <c r="E45"/>
      <c r="F45"/>
      <c r="G45"/>
      <c r="H45" t="s">
        <v>10</v>
      </c>
      <c r="P45" s="73"/>
      <c r="AA45" s="88"/>
      <c r="AB45" s="108"/>
      <c r="AC45" s="108"/>
      <c r="AD45" s="108"/>
      <c r="AE45" s="108"/>
      <c r="AF45" s="108"/>
      <c r="AG45" s="108"/>
      <c r="AH45" s="108"/>
      <c r="AI45" s="108"/>
      <c r="AJ45" s="102"/>
    </row>
    <row r="46" spans="1:39" s="70" customFormat="1" ht="15" customHeight="1" x14ac:dyDescent="0.3">
      <c r="A46" s="66"/>
      <c r="B46" s="66"/>
      <c r="P46" s="73"/>
      <c r="AA46" s="88"/>
      <c r="AB46" s="108"/>
      <c r="AC46" s="108"/>
      <c r="AD46" s="108"/>
      <c r="AE46" s="108"/>
      <c r="AF46" s="108"/>
      <c r="AG46" s="108"/>
      <c r="AH46" s="108"/>
      <c r="AI46" s="108"/>
      <c r="AJ46" s="102"/>
    </row>
    <row r="47" spans="1:39" s="70" customFormat="1" ht="15" customHeight="1" x14ac:dyDescent="0.3">
      <c r="A47" s="66"/>
      <c r="B47" s="66" t="s">
        <v>32</v>
      </c>
      <c r="C47" s="66" t="s">
        <v>181</v>
      </c>
      <c r="D47" s="66"/>
      <c r="E47" s="66"/>
      <c r="F47" s="66"/>
      <c r="G47" s="66"/>
      <c r="H47" s="66"/>
      <c r="I47" s="66"/>
      <c r="P47" s="73"/>
      <c r="AA47" s="88"/>
      <c r="AB47" s="108"/>
      <c r="AC47" s="108"/>
      <c r="AD47" s="108"/>
      <c r="AE47" s="108"/>
      <c r="AF47" s="108"/>
      <c r="AG47" s="108"/>
      <c r="AH47" s="108"/>
      <c r="AI47" s="108"/>
    </row>
    <row r="48" spans="1:39" s="70" customFormat="1" ht="15" customHeight="1" x14ac:dyDescent="0.3">
      <c r="B48" s="110">
        <v>1.1000000000000001</v>
      </c>
      <c r="C48" s="71" t="s">
        <v>242</v>
      </c>
      <c r="D48" s="66"/>
      <c r="F48" s="297"/>
      <c r="J48" s="79"/>
      <c r="P48" s="73"/>
      <c r="S48" s="79"/>
      <c r="T48" s="502"/>
      <c r="U48" s="502"/>
      <c r="AA48" s="88"/>
      <c r="AB48" s="108"/>
      <c r="AC48" s="108"/>
      <c r="AD48" s="108"/>
      <c r="AE48" s="108"/>
      <c r="AF48" s="108"/>
      <c r="AG48" s="108"/>
      <c r="AH48" s="108"/>
      <c r="AI48" s="108"/>
    </row>
    <row r="49" spans="1:39" s="88" customFormat="1" ht="12" customHeight="1" x14ac:dyDescent="0.35">
      <c r="B49" s="97"/>
      <c r="C49" s="428" t="s">
        <v>37</v>
      </c>
      <c r="D49" s="427" t="s">
        <v>231</v>
      </c>
      <c r="E49" s="423"/>
      <c r="F49" s="423"/>
      <c r="G49" s="423"/>
      <c r="H49" s="424"/>
      <c r="I49" s="343" t="s">
        <v>230</v>
      </c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  <c r="U49" s="343"/>
      <c r="V49" s="343"/>
      <c r="W49" s="343"/>
      <c r="X49" s="343"/>
      <c r="Y49" s="343"/>
      <c r="Z49" s="343"/>
      <c r="AA49" s="343" t="s">
        <v>9</v>
      </c>
      <c r="AB49" s="343"/>
      <c r="AC49" s="343" t="s">
        <v>243</v>
      </c>
      <c r="AD49" s="97"/>
      <c r="AE49" s="97"/>
      <c r="AF49" s="97"/>
      <c r="AG49" s="97"/>
      <c r="AH49" s="97"/>
      <c r="AI49" s="97"/>
      <c r="AJ49" s="301"/>
      <c r="AK49" s="301"/>
      <c r="AL49" s="301"/>
    </row>
    <row r="50" spans="1:39" s="100" customFormat="1" ht="12" customHeight="1" x14ac:dyDescent="0.35">
      <c r="B50" s="97"/>
      <c r="C50" s="514"/>
      <c r="D50" s="435" t="s">
        <v>232</v>
      </c>
      <c r="E50" s="436"/>
      <c r="F50" s="436"/>
      <c r="G50" s="436"/>
      <c r="H50" s="437"/>
      <c r="I50" s="408">
        <v>1</v>
      </c>
      <c r="J50" s="409"/>
      <c r="K50" s="410"/>
      <c r="L50" s="408">
        <v>2</v>
      </c>
      <c r="M50" s="409"/>
      <c r="N50" s="410"/>
      <c r="O50" s="343">
        <v>3</v>
      </c>
      <c r="P50" s="343"/>
      <c r="Q50" s="343"/>
      <c r="R50" s="343">
        <v>4</v>
      </c>
      <c r="S50" s="343"/>
      <c r="T50" s="343"/>
      <c r="U50" s="343">
        <v>5</v>
      </c>
      <c r="V50" s="343"/>
      <c r="W50" s="343"/>
      <c r="X50" s="343">
        <v>6</v>
      </c>
      <c r="Y50" s="343"/>
      <c r="Z50" s="343"/>
      <c r="AA50" s="343"/>
      <c r="AB50" s="343"/>
      <c r="AC50" s="343"/>
      <c r="AD50" s="97"/>
      <c r="AE50" s="97"/>
      <c r="AF50" s="97"/>
      <c r="AG50" s="97"/>
      <c r="AH50" s="97"/>
      <c r="AI50" s="97"/>
      <c r="AJ50" s="301"/>
      <c r="AK50" s="301"/>
      <c r="AL50" s="301"/>
    </row>
    <row r="51" spans="1:39" s="88" customFormat="1" ht="12" customHeight="1" x14ac:dyDescent="0.35">
      <c r="B51" s="99"/>
      <c r="C51" s="90">
        <v>1</v>
      </c>
      <c r="D51" s="408" t="s">
        <v>103</v>
      </c>
      <c r="E51" s="409"/>
      <c r="F51" s="409"/>
      <c r="G51" s="409"/>
      <c r="H51" s="410"/>
      <c r="I51" s="455">
        <f>'LK isi'!H53</f>
        <v>10230</v>
      </c>
      <c r="J51" s="456"/>
      <c r="K51" s="457"/>
      <c r="L51" s="455">
        <f>'LK isi'!K53</f>
        <v>10230</v>
      </c>
      <c r="M51" s="456"/>
      <c r="N51" s="457"/>
      <c r="O51" s="455">
        <f>'LK isi'!N53</f>
        <v>10230</v>
      </c>
      <c r="P51" s="456"/>
      <c r="Q51" s="457"/>
      <c r="R51" s="455">
        <f>'LK isi'!Q53</f>
        <v>10230</v>
      </c>
      <c r="S51" s="456"/>
      <c r="T51" s="457"/>
      <c r="U51" s="455">
        <f>'LK isi'!T53</f>
        <v>10230</v>
      </c>
      <c r="V51" s="456"/>
      <c r="W51" s="457"/>
      <c r="X51" s="455">
        <f>'LK isi'!W53</f>
        <v>10230</v>
      </c>
      <c r="Y51" s="456"/>
      <c r="Z51" s="457"/>
      <c r="AA51" s="454">
        <f>AVERAGE(I51:Z51)</f>
        <v>10230</v>
      </c>
      <c r="AB51" s="454"/>
      <c r="AC51" s="303">
        <f>STDEV(I51:Z51)</f>
        <v>0</v>
      </c>
      <c r="AD51" s="100"/>
      <c r="AE51" s="100"/>
      <c r="AF51" s="100"/>
      <c r="AG51" s="100"/>
      <c r="AH51" s="100"/>
      <c r="AI51" s="100"/>
      <c r="AJ51" s="108"/>
      <c r="AK51" s="108"/>
      <c r="AL51" s="108"/>
    </row>
    <row r="52" spans="1:39" s="88" customFormat="1" ht="12" customHeight="1" x14ac:dyDescent="0.35">
      <c r="B52" s="99"/>
      <c r="C52" s="100"/>
      <c r="D52" s="100"/>
      <c r="E52" s="100"/>
      <c r="F52" s="100"/>
      <c r="G52" s="1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0"/>
      <c r="T52" s="300"/>
      <c r="U52" s="300"/>
      <c r="V52" s="300"/>
      <c r="W52" s="300"/>
      <c r="X52" s="300"/>
      <c r="Y52" s="300"/>
      <c r="Z52" s="300"/>
      <c r="AA52" s="300"/>
      <c r="AB52" s="100"/>
      <c r="AC52" s="100"/>
      <c r="AD52" s="100"/>
      <c r="AE52" s="100"/>
      <c r="AF52" s="100"/>
      <c r="AG52" s="100"/>
      <c r="AH52" s="100"/>
      <c r="AI52" s="100"/>
      <c r="AJ52" s="108"/>
      <c r="AK52" s="108"/>
      <c r="AL52" s="108"/>
    </row>
    <row r="53" spans="1:39" s="88" customFormat="1" ht="12" customHeight="1" x14ac:dyDescent="0.3">
      <c r="C53" s="466" t="s">
        <v>51</v>
      </c>
      <c r="D53" s="468" t="s">
        <v>104</v>
      </c>
      <c r="E53" s="469"/>
      <c r="F53" s="470"/>
      <c r="G53" s="468" t="s">
        <v>116</v>
      </c>
      <c r="H53" s="469"/>
      <c r="I53" s="470"/>
      <c r="J53" s="468" t="s">
        <v>219</v>
      </c>
      <c r="K53" s="469"/>
      <c r="L53" s="470"/>
      <c r="M53" s="468" t="s">
        <v>244</v>
      </c>
      <c r="N53" s="469"/>
      <c r="O53" s="470"/>
      <c r="P53" s="468" t="s">
        <v>245</v>
      </c>
      <c r="Q53" s="469"/>
      <c r="R53" s="470"/>
      <c r="S53" s="468" t="s">
        <v>46</v>
      </c>
      <c r="T53" s="469"/>
      <c r="U53" s="470"/>
      <c r="V53" s="468" t="s">
        <v>134</v>
      </c>
      <c r="W53" s="469"/>
      <c r="X53" s="470"/>
      <c r="Y53" s="468" t="s">
        <v>47</v>
      </c>
      <c r="Z53" s="469"/>
      <c r="AA53" s="470"/>
      <c r="AB53" s="108"/>
      <c r="AC53" s="108"/>
      <c r="AD53" s="108"/>
      <c r="AE53" s="108"/>
      <c r="AF53" s="108"/>
      <c r="AG53" s="108"/>
      <c r="AH53" s="108"/>
      <c r="AI53" s="108"/>
      <c r="AJ53" s="70"/>
      <c r="AK53" s="70"/>
      <c r="AL53" s="70"/>
      <c r="AM53" s="70"/>
    </row>
    <row r="54" spans="1:39" s="88" customFormat="1" ht="12" customHeight="1" x14ac:dyDescent="0.3">
      <c r="B54" s="298"/>
      <c r="C54" s="467"/>
      <c r="D54" s="471"/>
      <c r="E54" s="472"/>
      <c r="F54" s="473"/>
      <c r="G54" s="471"/>
      <c r="H54" s="472"/>
      <c r="I54" s="473"/>
      <c r="J54" s="471"/>
      <c r="K54" s="472"/>
      <c r="L54" s="473"/>
      <c r="M54" s="471"/>
      <c r="N54" s="472"/>
      <c r="O54" s="473"/>
      <c r="P54" s="471"/>
      <c r="Q54" s="472"/>
      <c r="R54" s="473"/>
      <c r="S54" s="471"/>
      <c r="T54" s="472"/>
      <c r="U54" s="473"/>
      <c r="V54" s="471"/>
      <c r="W54" s="472"/>
      <c r="X54" s="473"/>
      <c r="Y54" s="471"/>
      <c r="Z54" s="472"/>
      <c r="AA54" s="473"/>
      <c r="AB54" s="108"/>
      <c r="AC54" s="108"/>
      <c r="AD54" s="108"/>
      <c r="AE54" s="108"/>
      <c r="AG54" s="108"/>
      <c r="AH54" s="108"/>
      <c r="AI54" s="108"/>
      <c r="AJ54" s="70"/>
      <c r="AK54" s="70"/>
      <c r="AL54" s="70"/>
      <c r="AM54" s="70"/>
    </row>
    <row r="55" spans="1:39" s="88" customFormat="1" ht="12" customHeight="1" x14ac:dyDescent="0.3">
      <c r="B55" s="97"/>
      <c r="C55" s="474">
        <v>1</v>
      </c>
      <c r="D55" s="476">
        <f>'Serti Lux'!O8+('Serti Lux'!N8*'olah data'!AA51)</f>
        <v>10957.215633423179</v>
      </c>
      <c r="E55" s="477"/>
      <c r="F55" s="478"/>
      <c r="G55" s="482" t="s">
        <v>246</v>
      </c>
      <c r="H55" s="483"/>
      <c r="I55" s="484"/>
      <c r="J55" s="482">
        <f>ktps!L14/1000</f>
        <v>0.22008215438497347</v>
      </c>
      <c r="K55" s="483"/>
      <c r="L55" s="484"/>
      <c r="M55" s="482" t="s">
        <v>246</v>
      </c>
      <c r="N55" s="483"/>
      <c r="O55" s="484"/>
      <c r="P55" s="488" t="s">
        <v>246</v>
      </c>
      <c r="Q55" s="489"/>
      <c r="R55" s="490"/>
      <c r="S55" s="500">
        <v>0</v>
      </c>
      <c r="T55" s="501"/>
      <c r="U55" s="304" t="s">
        <v>247</v>
      </c>
      <c r="V55" s="494" t="str">
        <f>IF(AND(D55&gt;=$S$55,D55&lt;=$S$56),"lulus","tidak lulus")</f>
        <v>lulus</v>
      </c>
      <c r="W55" s="495"/>
      <c r="X55" s="496"/>
      <c r="Y55" s="458">
        <f>(COUNTIF(V55:X56,"LULUS")/(COUNTA(V55:X56))*100)</f>
        <v>100</v>
      </c>
      <c r="Z55" s="459"/>
      <c r="AA55" s="460"/>
      <c r="AH55" s="70"/>
      <c r="AI55" s="70"/>
    </row>
    <row r="56" spans="1:39" s="88" customFormat="1" ht="12" customHeight="1" x14ac:dyDescent="0.3">
      <c r="B56" s="97"/>
      <c r="C56" s="475"/>
      <c r="D56" s="479"/>
      <c r="E56" s="480"/>
      <c r="F56" s="481"/>
      <c r="G56" s="485"/>
      <c r="H56" s="486"/>
      <c r="I56" s="487"/>
      <c r="J56" s="485"/>
      <c r="K56" s="486"/>
      <c r="L56" s="487"/>
      <c r="M56" s="485"/>
      <c r="N56" s="486"/>
      <c r="O56" s="487"/>
      <c r="P56" s="491"/>
      <c r="Q56" s="492"/>
      <c r="R56" s="493"/>
      <c r="S56" s="464">
        <v>150000</v>
      </c>
      <c r="T56" s="465"/>
      <c r="U56" s="305"/>
      <c r="V56" s="497"/>
      <c r="W56" s="498"/>
      <c r="X56" s="499"/>
      <c r="Y56" s="461"/>
      <c r="Z56" s="462"/>
      <c r="AA56" s="463"/>
      <c r="AH56" s="70"/>
      <c r="AI56" s="70"/>
    </row>
    <row r="57" spans="1:39" s="88" customFormat="1" ht="12" customHeight="1" x14ac:dyDescent="0.35"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302"/>
      <c r="O57" s="302"/>
      <c r="P57" s="302"/>
      <c r="Q57" s="302"/>
      <c r="R57" s="299"/>
      <c r="W57" s="100"/>
      <c r="X57" s="100"/>
      <c r="Y57" s="108"/>
    </row>
    <row r="58" spans="1:39" s="70" customFormat="1" ht="15" customHeight="1" x14ac:dyDescent="0.3">
      <c r="A58" s="66" t="s">
        <v>159</v>
      </c>
      <c r="B58" s="97" t="s">
        <v>172</v>
      </c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1"/>
      <c r="N58" s="91"/>
      <c r="O58" s="91"/>
      <c r="P58" s="91"/>
      <c r="Q58" s="91"/>
      <c r="R58" s="99"/>
      <c r="S58" s="99"/>
      <c r="T58" s="99"/>
      <c r="U58" s="99"/>
      <c r="V58" s="94"/>
      <c r="W58" s="79"/>
      <c r="X58" s="79"/>
    </row>
    <row r="59" spans="1:39" s="70" customFormat="1" ht="15" customHeight="1" x14ac:dyDescent="0.3">
      <c r="B59" s="537" t="s">
        <v>38</v>
      </c>
      <c r="C59" s="537"/>
      <c r="D59" s="537"/>
      <c r="E59" s="537"/>
      <c r="F59" s="537"/>
      <c r="G59" s="537"/>
      <c r="H59" s="537"/>
      <c r="I59" s="537" t="s">
        <v>47</v>
      </c>
      <c r="J59" s="537"/>
      <c r="K59" s="537"/>
      <c r="L59" s="345" t="s">
        <v>117</v>
      </c>
      <c r="M59" s="345"/>
      <c r="N59" s="345"/>
      <c r="O59" s="536" t="s">
        <v>185</v>
      </c>
      <c r="P59" s="536"/>
      <c r="Q59" s="536"/>
      <c r="R59" s="536"/>
      <c r="S59" s="536"/>
      <c r="T59" s="536"/>
      <c r="V59" s="181" t="s">
        <v>125</v>
      </c>
      <c r="W59" s="181"/>
      <c r="X59" s="181"/>
      <c r="Y59" s="181" t="s">
        <v>126</v>
      </c>
      <c r="Z59" s="181"/>
      <c r="AA59" s="181"/>
      <c r="AB59" s="537" t="s">
        <v>127</v>
      </c>
      <c r="AC59" s="537"/>
      <c r="AD59" s="537"/>
      <c r="AE59" s="537"/>
      <c r="AF59" s="537"/>
      <c r="AG59" s="537"/>
    </row>
    <row r="60" spans="1:39" s="70" customFormat="1" ht="58.5" customHeight="1" x14ac:dyDescent="0.3">
      <c r="B60" s="120">
        <v>1</v>
      </c>
      <c r="C60" s="556" t="str">
        <f>C48</f>
        <v>Parameter Illuminance</v>
      </c>
      <c r="D60" s="556"/>
      <c r="E60" s="556"/>
      <c r="F60" s="556"/>
      <c r="G60" s="556"/>
      <c r="H60" s="556"/>
      <c r="I60" s="440">
        <f>IF(Y55&gt;=70,1,0)</f>
        <v>1</v>
      </c>
      <c r="J60" s="440"/>
      <c r="K60" s="440"/>
      <c r="L60" s="343" t="str">
        <f>IF(I60=1,"Baik","Tidak Baik")</f>
        <v>Baik</v>
      </c>
      <c r="M60" s="343"/>
      <c r="N60" s="343"/>
      <c r="O60" s="538">
        <f>IF(L60="Baik",50,0)</f>
        <v>50</v>
      </c>
      <c r="P60" s="538"/>
      <c r="Q60" s="538"/>
      <c r="R60" s="538"/>
      <c r="S60" s="538"/>
      <c r="T60" s="538"/>
      <c r="V60" s="440" t="str">
        <f>IF(N63&gt;=70,"Baik","Tidak Baik")</f>
        <v>Baik</v>
      </c>
      <c r="W60" s="440"/>
      <c r="X60" s="440"/>
      <c r="Y60" s="539" t="str">
        <f>IF(V60="Baik","Dalam Batas Toleransi","Perlu Perbaikan")</f>
        <v>Dalam Batas Toleransi</v>
      </c>
      <c r="Z60" s="539"/>
      <c r="AA60" s="539"/>
      <c r="AB60" s="539" t="str">
        <f>IF(V60="Baik","Alat dinyatakan Laik Pakai","Alat dinyatakan Tidak Laik Pakai")</f>
        <v>Alat dinyatakan Laik Pakai</v>
      </c>
      <c r="AC60" s="539"/>
      <c r="AD60" s="539"/>
      <c r="AE60" s="539" t="str">
        <f>IF(AB60="Alat dinyatakan Laik Pakai","Lakukan pengujian ulang sesuai jadwal secara berkala","Lakukan perbaikan dan kalibrasi ulang")</f>
        <v>Lakukan pengujian ulang sesuai jadwal secara berkala</v>
      </c>
      <c r="AF60" s="539"/>
      <c r="AG60" s="539"/>
    </row>
    <row r="61" spans="1:39" ht="15" customHeight="1" x14ac:dyDescent="0.35"/>
    <row r="62" spans="1:39" ht="15" customHeight="1" x14ac:dyDescent="0.35">
      <c r="B62" s="182" t="s">
        <v>51</v>
      </c>
      <c r="C62" s="527" t="s">
        <v>38</v>
      </c>
      <c r="D62" s="528"/>
      <c r="E62" s="528"/>
      <c r="F62" s="528"/>
      <c r="G62" s="528"/>
      <c r="H62" s="528"/>
      <c r="I62" s="528"/>
      <c r="J62" s="529"/>
      <c r="K62" s="530" t="s">
        <v>185</v>
      </c>
      <c r="L62" s="531"/>
      <c r="M62" s="532"/>
      <c r="N62" s="533" t="s">
        <v>186</v>
      </c>
      <c r="O62" s="533"/>
      <c r="P62" s="533"/>
    </row>
    <row r="63" spans="1:39" ht="15" customHeight="1" x14ac:dyDescent="0.35">
      <c r="B63" s="183">
        <v>1</v>
      </c>
      <c r="C63" s="530" t="s">
        <v>187</v>
      </c>
      <c r="D63" s="531"/>
      <c r="E63" s="531"/>
      <c r="F63" s="531"/>
      <c r="G63" s="531"/>
      <c r="H63" s="531"/>
      <c r="I63" s="531"/>
      <c r="J63" s="532"/>
      <c r="K63" s="534">
        <f>IF(O31&gt;=10, 10,0)</f>
        <v>10</v>
      </c>
      <c r="L63" s="534"/>
      <c r="M63" s="534"/>
      <c r="N63" s="535">
        <f>SUM(K63:M65)</f>
        <v>100</v>
      </c>
      <c r="O63" s="535"/>
      <c r="P63" s="535"/>
    </row>
    <row r="64" spans="1:39" ht="15" customHeight="1" x14ac:dyDescent="0.35">
      <c r="B64" s="183">
        <v>2</v>
      </c>
      <c r="C64" s="530" t="s">
        <v>48</v>
      </c>
      <c r="D64" s="531"/>
      <c r="E64" s="531"/>
      <c r="F64" s="531"/>
      <c r="G64" s="531"/>
      <c r="H64" s="531"/>
      <c r="I64" s="531"/>
      <c r="J64" s="532"/>
      <c r="K64" s="534">
        <f>IF(AA41&gt;=40, 40,0)</f>
        <v>40</v>
      </c>
      <c r="L64" s="534"/>
      <c r="M64" s="534"/>
      <c r="N64" s="535"/>
      <c r="O64" s="535"/>
      <c r="P64" s="535"/>
    </row>
    <row r="65" spans="2:16" ht="15" customHeight="1" x14ac:dyDescent="0.35">
      <c r="B65" s="183">
        <v>3</v>
      </c>
      <c r="C65" s="530" t="s">
        <v>188</v>
      </c>
      <c r="D65" s="531"/>
      <c r="E65" s="531"/>
      <c r="F65" s="531"/>
      <c r="G65" s="531"/>
      <c r="H65" s="531"/>
      <c r="I65" s="531"/>
      <c r="J65" s="532"/>
      <c r="K65" s="534">
        <f>IF(L60="Baik",50,0)</f>
        <v>50</v>
      </c>
      <c r="L65" s="534"/>
      <c r="M65" s="534"/>
      <c r="N65" s="535"/>
      <c r="O65" s="535"/>
      <c r="P65" s="535"/>
    </row>
    <row r="66" spans="2:16" ht="15" customHeight="1" x14ac:dyDescent="0.35"/>
  </sheetData>
  <mergeCells count="152">
    <mergeCell ref="C20:K20"/>
    <mergeCell ref="L20:P20"/>
    <mergeCell ref="Q20:T20"/>
    <mergeCell ref="U20:X20"/>
    <mergeCell ref="C19:K19"/>
    <mergeCell ref="P25:Q25"/>
    <mergeCell ref="X24:Z24"/>
    <mergeCell ref="X26:Z26"/>
    <mergeCell ref="U19:X19"/>
    <mergeCell ref="C21:K21"/>
    <mergeCell ref="L21:P21"/>
    <mergeCell ref="Q21:T21"/>
    <mergeCell ref="U21:X21"/>
    <mergeCell ref="L18:P18"/>
    <mergeCell ref="Q18:T18"/>
    <mergeCell ref="U17:X17"/>
    <mergeCell ref="U18:X18"/>
    <mergeCell ref="L19:P19"/>
    <mergeCell ref="Q19:T19"/>
    <mergeCell ref="C17:K17"/>
    <mergeCell ref="L17:P17"/>
    <mergeCell ref="Q17:T17"/>
    <mergeCell ref="C18:K18"/>
    <mergeCell ref="K30:N30"/>
    <mergeCell ref="C24:I24"/>
    <mergeCell ref="J24:M24"/>
    <mergeCell ref="N24:Q24"/>
    <mergeCell ref="R24:T24"/>
    <mergeCell ref="U24:W24"/>
    <mergeCell ref="C25:I25"/>
    <mergeCell ref="J25:K25"/>
    <mergeCell ref="L25:M25"/>
    <mergeCell ref="N25:O25"/>
    <mergeCell ref="L26:M26"/>
    <mergeCell ref="N26:O26"/>
    <mergeCell ref="P26:Q26"/>
    <mergeCell ref="R26:T26"/>
    <mergeCell ref="U26:W26"/>
    <mergeCell ref="B59:H59"/>
    <mergeCell ref="C60:H60"/>
    <mergeCell ref="I60:K60"/>
    <mergeCell ref="I59:K59"/>
    <mergeCell ref="AE41:AH43"/>
    <mergeCell ref="C31:J31"/>
    <mergeCell ref="C32:J32"/>
    <mergeCell ref="C33:J33"/>
    <mergeCell ref="C34:J34"/>
    <mergeCell ref="C35:J35"/>
    <mergeCell ref="L40:P40"/>
    <mergeCell ref="Q40:S40"/>
    <mergeCell ref="L41:N41"/>
    <mergeCell ref="L42:N42"/>
    <mergeCell ref="T40:Z40"/>
    <mergeCell ref="T41:Z41"/>
    <mergeCell ref="T42:Z42"/>
    <mergeCell ref="T43:Z43"/>
    <mergeCell ref="K31:N31"/>
    <mergeCell ref="K32:N32"/>
    <mergeCell ref="K33:N33"/>
    <mergeCell ref="K34:N34"/>
    <mergeCell ref="K35:N35"/>
    <mergeCell ref="K36:N36"/>
    <mergeCell ref="AA40:AD40"/>
    <mergeCell ref="AA41:AD43"/>
    <mergeCell ref="A1:AQ1"/>
    <mergeCell ref="A2:AQ2"/>
    <mergeCell ref="U27:W27"/>
    <mergeCell ref="X27:Z27"/>
    <mergeCell ref="C30:J30"/>
    <mergeCell ref="C36:J36"/>
    <mergeCell ref="C37:J37"/>
    <mergeCell ref="C43:K43"/>
    <mergeCell ref="C40:K40"/>
    <mergeCell ref="S30:V30"/>
    <mergeCell ref="K37:N37"/>
    <mergeCell ref="O41:P41"/>
    <mergeCell ref="O42:P42"/>
    <mergeCell ref="O43:P43"/>
    <mergeCell ref="C41:K41"/>
    <mergeCell ref="C42:K42"/>
    <mergeCell ref="J27:Q27"/>
    <mergeCell ref="R27:T27"/>
    <mergeCell ref="L43:N43"/>
    <mergeCell ref="AE40:AH40"/>
    <mergeCell ref="I14:L14"/>
    <mergeCell ref="O30:R30"/>
    <mergeCell ref="L59:N59"/>
    <mergeCell ref="O59:T59"/>
    <mergeCell ref="AB59:AG59"/>
    <mergeCell ref="L60:N60"/>
    <mergeCell ref="O60:T60"/>
    <mergeCell ref="V60:X60"/>
    <mergeCell ref="Y60:AA60"/>
    <mergeCell ref="AB60:AD60"/>
    <mergeCell ref="AE60:AG60"/>
    <mergeCell ref="C62:J62"/>
    <mergeCell ref="K62:M62"/>
    <mergeCell ref="N62:P62"/>
    <mergeCell ref="C63:J63"/>
    <mergeCell ref="K63:M63"/>
    <mergeCell ref="N63:P65"/>
    <mergeCell ref="C64:J64"/>
    <mergeCell ref="K64:M64"/>
    <mergeCell ref="C65:J65"/>
    <mergeCell ref="K65:M65"/>
    <mergeCell ref="T48:U48"/>
    <mergeCell ref="R25:T25"/>
    <mergeCell ref="U25:W25"/>
    <mergeCell ref="X25:Z25"/>
    <mergeCell ref="C26:I26"/>
    <mergeCell ref="J26:K26"/>
    <mergeCell ref="D51:H51"/>
    <mergeCell ref="I51:K51"/>
    <mergeCell ref="L51:N51"/>
    <mergeCell ref="O51:Q51"/>
    <mergeCell ref="R51:T51"/>
    <mergeCell ref="X51:Z51"/>
    <mergeCell ref="C49:C50"/>
    <mergeCell ref="D49:H49"/>
    <mergeCell ref="I49:Z49"/>
    <mergeCell ref="D50:H50"/>
    <mergeCell ref="I50:K50"/>
    <mergeCell ref="L50:N50"/>
    <mergeCell ref="O50:Q50"/>
    <mergeCell ref="R50:T50"/>
    <mergeCell ref="U50:W50"/>
    <mergeCell ref="X50:Z50"/>
    <mergeCell ref="O31:R37"/>
    <mergeCell ref="S31:V37"/>
    <mergeCell ref="AA49:AB50"/>
    <mergeCell ref="AA51:AB51"/>
    <mergeCell ref="AC49:AC50"/>
    <mergeCell ref="U51:W51"/>
    <mergeCell ref="Y55:AA56"/>
    <mergeCell ref="S56:T56"/>
    <mergeCell ref="C53:C54"/>
    <mergeCell ref="D53:F54"/>
    <mergeCell ref="G53:I54"/>
    <mergeCell ref="J53:L54"/>
    <mergeCell ref="M53:O54"/>
    <mergeCell ref="P53:R54"/>
    <mergeCell ref="S53:U54"/>
    <mergeCell ref="V53:X54"/>
    <mergeCell ref="Y53:AA54"/>
    <mergeCell ref="C55:C56"/>
    <mergeCell ref="D55:F56"/>
    <mergeCell ref="G55:I56"/>
    <mergeCell ref="J55:L56"/>
    <mergeCell ref="M55:O56"/>
    <mergeCell ref="P55:R56"/>
    <mergeCell ref="V55:X56"/>
    <mergeCell ref="S55:T55"/>
  </mergeCells>
  <pageMargins left="0.98425196850393704" right="0.23622047244094491" top="0.31496062992125984" bottom="0.35433070866141736" header="0.31496062992125984" footer="0.31496062992125984"/>
  <pageSetup scale="4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234"/>
  <sheetViews>
    <sheetView zoomScale="80" zoomScaleNormal="80" workbookViewId="0">
      <selection activeCell="D34" sqref="D34"/>
    </sheetView>
  </sheetViews>
  <sheetFormatPr defaultColWidth="9.7265625" defaultRowHeight="14.5" x14ac:dyDescent="0.35"/>
  <cols>
    <col min="1" max="1" width="5.453125" style="20" customWidth="1"/>
    <col min="2" max="2" width="9.7265625" style="20"/>
    <col min="3" max="3" width="7.453125" style="20" customWidth="1"/>
    <col min="4" max="4" width="10.26953125" style="20" customWidth="1"/>
    <col min="5" max="5" width="4.7265625" style="20" customWidth="1"/>
    <col min="6" max="6" width="6.81640625" style="20" customWidth="1"/>
    <col min="7" max="7" width="5" style="20" customWidth="1"/>
    <col min="8" max="8" width="11.54296875" style="20" bestFit="1" customWidth="1"/>
    <col min="9" max="9" width="5.453125" style="20" customWidth="1"/>
    <col min="10" max="10" width="6.81640625" style="20" customWidth="1"/>
    <col min="11" max="11" width="8.7265625" style="20" customWidth="1"/>
    <col min="12" max="12" width="7.54296875" style="20" customWidth="1"/>
    <col min="13" max="13" width="10.26953125" style="20" bestFit="1" customWidth="1"/>
    <col min="14" max="14" width="11.81640625" style="20" bestFit="1" customWidth="1"/>
    <col min="15" max="15" width="10.81640625" style="20" customWidth="1"/>
    <col min="16" max="16" width="8.453125" style="20" bestFit="1" customWidth="1"/>
    <col min="17" max="17" width="11.81640625" style="20" bestFit="1" customWidth="1"/>
    <col min="18" max="18" width="8.453125" style="20" bestFit="1" customWidth="1"/>
    <col min="19" max="19" width="11.81640625" style="20" bestFit="1" customWidth="1"/>
    <col min="20" max="20" width="8.453125" style="20" bestFit="1" customWidth="1"/>
    <col min="21" max="21" width="13.7265625" style="20" bestFit="1" customWidth="1"/>
    <col min="22" max="22" width="8.54296875" style="20" customWidth="1"/>
    <col min="23" max="23" width="12.54296875" style="20" bestFit="1" customWidth="1"/>
    <col min="24" max="24" width="8.453125" style="20" bestFit="1" customWidth="1"/>
    <col min="25" max="25" width="12.54296875" style="20" bestFit="1" customWidth="1"/>
    <col min="26" max="26" width="11.81640625" style="20" bestFit="1" customWidth="1"/>
    <col min="27" max="27" width="10.54296875" style="20" bestFit="1" customWidth="1"/>
    <col min="28" max="28" width="7.7265625" style="20" customWidth="1"/>
    <col min="29" max="29" width="12.54296875" style="20" bestFit="1" customWidth="1"/>
    <col min="30" max="30" width="12.26953125" style="20" customWidth="1"/>
    <col min="31" max="31" width="8.1796875" style="20" customWidth="1"/>
    <col min="32" max="32" width="9.7265625" style="20"/>
    <col min="33" max="33" width="11.26953125" style="20" bestFit="1" customWidth="1"/>
    <col min="34" max="34" width="7.453125" style="20" customWidth="1"/>
    <col min="35" max="35" width="7.26953125" style="20" bestFit="1" customWidth="1"/>
    <col min="36" max="36" width="9.7265625" style="20"/>
    <col min="37" max="37" width="7.26953125" style="20" bestFit="1" customWidth="1"/>
    <col min="38" max="16384" width="9.7265625" style="20"/>
  </cols>
  <sheetData>
    <row r="1" spans="1:39" ht="18.5" x14ac:dyDescent="0.45">
      <c r="A1" s="577" t="s">
        <v>90</v>
      </c>
      <c r="B1" s="577"/>
      <c r="C1" s="577"/>
      <c r="D1" s="577"/>
      <c r="E1" s="577"/>
      <c r="F1" s="577"/>
      <c r="G1" s="577"/>
      <c r="H1" s="577"/>
      <c r="L1" s="584" t="s">
        <v>191</v>
      </c>
      <c r="M1" s="584"/>
      <c r="N1" s="584"/>
      <c r="O1" s="584"/>
      <c r="P1" s="584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</row>
    <row r="2" spans="1:39" x14ac:dyDescent="0.35">
      <c r="L2" s="585" t="s">
        <v>240</v>
      </c>
      <c r="M2" s="585"/>
      <c r="N2" s="585"/>
      <c r="O2" s="585"/>
      <c r="P2" s="585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</row>
    <row r="3" spans="1:39" x14ac:dyDescent="0.35">
      <c r="L3" s="579" t="s">
        <v>37</v>
      </c>
      <c r="M3" s="579" t="s">
        <v>193</v>
      </c>
      <c r="N3" s="580" t="s">
        <v>194</v>
      </c>
      <c r="O3" s="582" t="s">
        <v>195</v>
      </c>
      <c r="P3" s="579" t="s">
        <v>219</v>
      </c>
      <c r="Q3" s="294"/>
      <c r="R3" s="576"/>
      <c r="S3" s="576"/>
      <c r="T3" s="576"/>
      <c r="U3" s="576"/>
      <c r="V3" s="576"/>
      <c r="W3" s="576"/>
      <c r="X3" s="576"/>
      <c r="Y3" s="576"/>
      <c r="Z3" s="576"/>
      <c r="AA3" s="576"/>
      <c r="AB3" s="576"/>
      <c r="AC3" s="576"/>
      <c r="AD3" s="571"/>
      <c r="AE3" s="574"/>
      <c r="AF3" s="574"/>
      <c r="AG3" s="574"/>
      <c r="AH3" s="574"/>
      <c r="AI3" s="574"/>
      <c r="AJ3" s="574"/>
      <c r="AK3" s="574"/>
      <c r="AL3" s="574"/>
      <c r="AM3" s="575"/>
    </row>
    <row r="4" spans="1:39" x14ac:dyDescent="0.35">
      <c r="A4" s="20" t="s">
        <v>4</v>
      </c>
      <c r="C4" s="20" t="s">
        <v>10</v>
      </c>
      <c r="D4" s="41" t="str">
        <f>'LK isi'!C23</f>
        <v>Lux Meter</v>
      </c>
      <c r="E4" s="41"/>
      <c r="F4" s="41"/>
      <c r="G4" s="41"/>
      <c r="L4" s="579"/>
      <c r="M4" s="579"/>
      <c r="N4" s="581"/>
      <c r="O4" s="583"/>
      <c r="P4" s="579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571"/>
      <c r="AE4" s="574"/>
      <c r="AF4" s="574"/>
      <c r="AG4" s="574"/>
      <c r="AH4" s="574"/>
      <c r="AI4" s="574"/>
      <c r="AJ4" s="574"/>
      <c r="AK4" s="574"/>
      <c r="AL4" s="574"/>
      <c r="AM4" s="575"/>
    </row>
    <row r="5" spans="1:39" x14ac:dyDescent="0.35">
      <c r="A5" s="20" t="s">
        <v>0</v>
      </c>
      <c r="C5" s="20" t="s">
        <v>10</v>
      </c>
      <c r="D5" s="41" t="str">
        <f>'LK isi'!K23</f>
        <v>Kimo</v>
      </c>
      <c r="E5" s="41"/>
      <c r="F5" s="41"/>
      <c r="G5" s="41"/>
      <c r="L5" s="43">
        <v>1</v>
      </c>
      <c r="M5" s="246">
        <f>A19</f>
        <v>21110978</v>
      </c>
      <c r="N5" s="208">
        <f>C30</f>
        <v>1.0723270440251571</v>
      </c>
      <c r="O5" s="285">
        <f>D30</f>
        <v>-12.690026954177881</v>
      </c>
      <c r="P5" s="295">
        <f>H28</f>
        <v>2.2000000000000002</v>
      </c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  <c r="AD5" s="277"/>
      <c r="AE5" s="277"/>
      <c r="AF5" s="277"/>
      <c r="AG5" s="277"/>
      <c r="AH5" s="277"/>
      <c r="AI5" s="277"/>
      <c r="AJ5" s="277"/>
      <c r="AK5" s="277"/>
      <c r="AL5" s="277"/>
      <c r="AM5" s="277"/>
    </row>
    <row r="6" spans="1:39" x14ac:dyDescent="0.35">
      <c r="A6" s="20" t="s">
        <v>50</v>
      </c>
      <c r="C6" s="20" t="s">
        <v>10</v>
      </c>
      <c r="D6" s="41" t="str">
        <f>'LK isi'!P23</f>
        <v>LX 200</v>
      </c>
      <c r="E6" s="41"/>
      <c r="F6" s="41"/>
      <c r="G6" s="41"/>
      <c r="L6" s="43">
        <v>2</v>
      </c>
      <c r="M6" s="246" t="str">
        <f>J19</f>
        <v>21110987</v>
      </c>
      <c r="N6" s="208">
        <f>L30</f>
        <v>1.1362893081761005</v>
      </c>
      <c r="O6" s="285">
        <f>M30</f>
        <v>-11.75876010781667</v>
      </c>
      <c r="P6" s="295">
        <f>Q28</f>
        <v>2.4</v>
      </c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77"/>
      <c r="AE6" s="277"/>
      <c r="AF6" s="277"/>
      <c r="AG6" s="277"/>
      <c r="AH6" s="277"/>
      <c r="AI6" s="277"/>
      <c r="AJ6" s="277"/>
      <c r="AK6" s="277"/>
      <c r="AL6" s="277"/>
      <c r="AM6" s="277"/>
    </row>
    <row r="7" spans="1:39" x14ac:dyDescent="0.35">
      <c r="A7" s="20" t="s">
        <v>2</v>
      </c>
      <c r="C7" s="20" t="s">
        <v>10</v>
      </c>
      <c r="D7" s="42">
        <v>21110978</v>
      </c>
      <c r="E7" s="41"/>
      <c r="F7" s="41"/>
      <c r="G7" s="41"/>
      <c r="H7" s="201">
        <v>44998</v>
      </c>
      <c r="L7" s="289">
        <v>3</v>
      </c>
      <c r="M7" s="245" t="str">
        <f>A31</f>
        <v>21110988</v>
      </c>
      <c r="N7" s="290">
        <f>C42</f>
        <v>1.1979245283018867</v>
      </c>
      <c r="O7" s="291">
        <f>D42</f>
        <v>-11.923180592991912</v>
      </c>
      <c r="P7" s="295">
        <f>H40</f>
        <v>2.9</v>
      </c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77"/>
      <c r="AE7" s="277"/>
      <c r="AF7" s="277"/>
      <c r="AG7" s="277"/>
      <c r="AH7" s="277"/>
      <c r="AI7" s="277"/>
      <c r="AJ7" s="277"/>
      <c r="AK7" s="277"/>
      <c r="AL7" s="277"/>
      <c r="AM7" s="277"/>
    </row>
    <row r="8" spans="1:39" x14ac:dyDescent="0.35">
      <c r="D8" s="42">
        <v>21110987</v>
      </c>
      <c r="E8" s="41"/>
      <c r="F8" s="41"/>
      <c r="G8" s="41"/>
      <c r="H8" s="201">
        <v>44998</v>
      </c>
      <c r="L8" s="586">
        <f>'LK isi'!T23</f>
        <v>21110978</v>
      </c>
      <c r="M8" s="586"/>
      <c r="N8" s="292">
        <f>VLOOKUP($L$8,$M$5:$P$7,2,FALSE)</f>
        <v>1.0723270440251571</v>
      </c>
      <c r="O8" s="293">
        <f>VLOOKUP($L$8,$M$5:$AM$7,3,FALSE)</f>
        <v>-12.690026954177881</v>
      </c>
      <c r="P8" s="296">
        <f>VLOOKUP($L$8,$M$5:$AM$7,4,FALSE)</f>
        <v>2.2000000000000002</v>
      </c>
      <c r="Q8" s="287"/>
      <c r="R8" s="287"/>
      <c r="S8" s="287"/>
      <c r="T8" s="287"/>
      <c r="U8" s="287"/>
      <c r="V8" s="287"/>
      <c r="W8" s="287"/>
      <c r="X8" s="287"/>
      <c r="Y8" s="287"/>
      <c r="Z8" s="287"/>
      <c r="AA8" s="287"/>
      <c r="AB8" s="287"/>
      <c r="AC8" s="287"/>
      <c r="AD8" s="288"/>
      <c r="AE8" s="288"/>
      <c r="AF8" s="288"/>
      <c r="AG8" s="288"/>
      <c r="AH8" s="288"/>
      <c r="AI8" s="288"/>
      <c r="AJ8" s="288"/>
      <c r="AK8" s="288"/>
      <c r="AL8" s="288"/>
      <c r="AM8" s="288"/>
    </row>
    <row r="9" spans="1:39" x14ac:dyDescent="0.35">
      <c r="D9" s="42">
        <v>21110988</v>
      </c>
      <c r="E9" s="41"/>
      <c r="F9" s="41"/>
      <c r="G9" s="41"/>
      <c r="H9" s="201">
        <v>44998</v>
      </c>
    </row>
    <row r="10" spans="1:39" x14ac:dyDescent="0.35">
      <c r="D10" s="42"/>
      <c r="E10" s="41"/>
      <c r="F10" s="41"/>
      <c r="G10" s="41" t="s">
        <v>80</v>
      </c>
    </row>
    <row r="11" spans="1:39" x14ac:dyDescent="0.35">
      <c r="D11" s="42"/>
      <c r="E11" s="41"/>
      <c r="F11" s="41"/>
      <c r="G11" s="41"/>
    </row>
    <row r="12" spans="1:39" x14ac:dyDescent="0.35">
      <c r="D12" s="42"/>
      <c r="E12" s="41"/>
      <c r="F12" s="41"/>
      <c r="G12" s="41"/>
    </row>
    <row r="13" spans="1:39" x14ac:dyDescent="0.35">
      <c r="A13" s="20" t="s">
        <v>81</v>
      </c>
      <c r="C13" s="20" t="s">
        <v>10</v>
      </c>
      <c r="D13" s="43">
        <v>4</v>
      </c>
      <c r="E13" s="44" t="str">
        <f>IF(D13=1,E15,IF(D13=2,E16,IF(D13=3,E17,IF(D13=4,E18,""))))</f>
        <v>PT. Kaliman</v>
      </c>
      <c r="F13" s="203"/>
      <c r="G13" s="203"/>
    </row>
    <row r="14" spans="1:39" x14ac:dyDescent="0.35">
      <c r="D14" s="45"/>
      <c r="V14" s="209"/>
    </row>
    <row r="15" spans="1:39" x14ac:dyDescent="0.35">
      <c r="D15" s="45">
        <v>1</v>
      </c>
      <c r="E15" s="20" t="s">
        <v>82</v>
      </c>
    </row>
    <row r="16" spans="1:39" x14ac:dyDescent="0.35">
      <c r="D16" s="45">
        <v>2</v>
      </c>
      <c r="E16" s="20" t="s">
        <v>88</v>
      </c>
    </row>
    <row r="17" spans="1:37" x14ac:dyDescent="0.35">
      <c r="D17" s="45">
        <v>3</v>
      </c>
      <c r="E17" s="20" t="s">
        <v>89</v>
      </c>
    </row>
    <row r="18" spans="1:37" x14ac:dyDescent="0.35">
      <c r="D18" s="45">
        <v>4</v>
      </c>
      <c r="E18" s="20" t="s">
        <v>180</v>
      </c>
    </row>
    <row r="19" spans="1:37" x14ac:dyDescent="0.35">
      <c r="A19" s="576">
        <v>21110978</v>
      </c>
      <c r="B19" s="576"/>
      <c r="D19" s="45"/>
      <c r="J19" s="276" t="s">
        <v>238</v>
      </c>
    </row>
    <row r="20" spans="1:37" ht="14.5" customHeight="1" x14ac:dyDescent="0.35">
      <c r="I20" s="20" t="s">
        <v>80</v>
      </c>
    </row>
    <row r="21" spans="1:37" s="30" customFormat="1" ht="32.25" customHeight="1" x14ac:dyDescent="0.35">
      <c r="A21" s="54" t="s">
        <v>37</v>
      </c>
      <c r="B21" s="578" t="s">
        <v>52</v>
      </c>
      <c r="C21" s="578"/>
      <c r="D21" s="578" t="s">
        <v>118</v>
      </c>
      <c r="E21" s="578"/>
      <c r="F21" s="578" t="s">
        <v>116</v>
      </c>
      <c r="G21" s="578"/>
      <c r="H21" s="55" t="s">
        <v>86</v>
      </c>
      <c r="J21" s="54" t="s">
        <v>37</v>
      </c>
      <c r="K21" s="572" t="s">
        <v>52</v>
      </c>
      <c r="L21" s="573"/>
      <c r="M21" s="572" t="s">
        <v>118</v>
      </c>
      <c r="N21" s="573"/>
      <c r="O21" s="572" t="s">
        <v>116</v>
      </c>
      <c r="P21" s="573"/>
      <c r="Q21" s="55" t="s">
        <v>86</v>
      </c>
      <c r="S21" s="169"/>
      <c r="T21" s="571"/>
      <c r="U21" s="571"/>
      <c r="V21" s="571"/>
      <c r="W21" s="571"/>
      <c r="X21" s="571"/>
      <c r="Y21" s="571"/>
      <c r="Z21" s="170"/>
      <c r="AB21" s="169"/>
      <c r="AC21" s="571"/>
      <c r="AD21" s="571"/>
      <c r="AE21" s="571"/>
      <c r="AF21" s="571"/>
      <c r="AG21" s="571"/>
      <c r="AH21" s="571"/>
      <c r="AI21" s="571"/>
      <c r="AJ21" s="170"/>
      <c r="AK21" s="20"/>
    </row>
    <row r="22" spans="1:37" x14ac:dyDescent="0.35">
      <c r="A22" s="53">
        <v>1</v>
      </c>
      <c r="B22" s="60">
        <v>50</v>
      </c>
      <c r="C22" s="272" t="s">
        <v>236</v>
      </c>
      <c r="D22" s="60">
        <f>B22+F22</f>
        <v>47</v>
      </c>
      <c r="E22" s="21" t="str">
        <f>C22</f>
        <v>lux</v>
      </c>
      <c r="F22" s="21">
        <v>-3</v>
      </c>
      <c r="G22" s="21" t="str">
        <f t="shared" ref="G22:G28" si="0">E22</f>
        <v>lux</v>
      </c>
      <c r="H22" s="273">
        <v>4.2</v>
      </c>
      <c r="J22" s="53">
        <v>1</v>
      </c>
      <c r="K22" s="60">
        <f t="shared" ref="K22:K28" si="1">B22</f>
        <v>50</v>
      </c>
      <c r="L22" s="272" t="s">
        <v>236</v>
      </c>
      <c r="M22" s="60">
        <f>K22+O22</f>
        <v>50</v>
      </c>
      <c r="N22" s="21" t="str">
        <f>L22</f>
        <v>lux</v>
      </c>
      <c r="O22" s="21">
        <v>0</v>
      </c>
      <c r="P22" s="21" t="str">
        <f t="shared" ref="P22:P28" si="2">N22</f>
        <v>lux</v>
      </c>
      <c r="Q22" s="273">
        <v>8.5</v>
      </c>
      <c r="S22" s="45"/>
      <c r="T22" s="59"/>
      <c r="V22" s="59"/>
      <c r="Z22" s="569"/>
      <c r="AB22" s="45"/>
      <c r="AC22" s="59"/>
      <c r="AD22" s="59"/>
      <c r="AF22" s="277"/>
      <c r="AJ22" s="569"/>
    </row>
    <row r="23" spans="1:37" x14ac:dyDescent="0.35">
      <c r="A23" s="53">
        <v>2</v>
      </c>
      <c r="B23" s="60">
        <v>100</v>
      </c>
      <c r="C23" s="21" t="str">
        <f>$C$22</f>
        <v>lux</v>
      </c>
      <c r="D23" s="60">
        <f t="shared" ref="D23:D28" si="3">B23+F23</f>
        <v>98</v>
      </c>
      <c r="E23" s="21" t="str">
        <f t="shared" ref="E23:E28" si="4">$C$22</f>
        <v>lux</v>
      </c>
      <c r="F23" s="21">
        <v>-2</v>
      </c>
      <c r="G23" s="21" t="str">
        <f t="shared" si="0"/>
        <v>lux</v>
      </c>
      <c r="H23" s="274">
        <v>2.8</v>
      </c>
      <c r="J23" s="53">
        <v>2</v>
      </c>
      <c r="K23" s="60">
        <f t="shared" si="1"/>
        <v>100</v>
      </c>
      <c r="L23" s="21" t="str">
        <f t="shared" ref="L23:L28" si="5">$L$22</f>
        <v>lux</v>
      </c>
      <c r="M23" s="60">
        <f t="shared" ref="M23:M28" si="6">K23+O23</f>
        <v>103</v>
      </c>
      <c r="N23" s="21" t="str">
        <f t="shared" ref="N23:N28" si="7">$L$22</f>
        <v>lux</v>
      </c>
      <c r="O23" s="21">
        <v>3</v>
      </c>
      <c r="P23" s="21" t="str">
        <f t="shared" si="2"/>
        <v>lux</v>
      </c>
      <c r="Q23" s="274">
        <v>4.5</v>
      </c>
      <c r="S23" s="45"/>
      <c r="T23" s="59"/>
      <c r="V23" s="59"/>
      <c r="Z23" s="569"/>
      <c r="AB23" s="45"/>
      <c r="AC23" s="59"/>
      <c r="AD23" s="59"/>
      <c r="AF23" s="277"/>
      <c r="AJ23" s="569"/>
    </row>
    <row r="24" spans="1:37" x14ac:dyDescent="0.35">
      <c r="A24" s="53">
        <v>3</v>
      </c>
      <c r="B24" s="60">
        <v>200</v>
      </c>
      <c r="C24" s="21" t="str">
        <f t="shared" ref="C24:C28" si="8">$C$22</f>
        <v>lux</v>
      </c>
      <c r="D24" s="60">
        <f t="shared" si="3"/>
        <v>200</v>
      </c>
      <c r="E24" s="21" t="str">
        <f t="shared" si="4"/>
        <v>lux</v>
      </c>
      <c r="F24" s="21">
        <v>0</v>
      </c>
      <c r="G24" s="21" t="str">
        <f t="shared" si="0"/>
        <v>lux</v>
      </c>
      <c r="H24" s="274">
        <v>2.4</v>
      </c>
      <c r="J24" s="53">
        <v>3</v>
      </c>
      <c r="K24" s="60">
        <f t="shared" si="1"/>
        <v>200</v>
      </c>
      <c r="L24" s="21" t="str">
        <f t="shared" si="5"/>
        <v>lux</v>
      </c>
      <c r="M24" s="60">
        <f t="shared" si="6"/>
        <v>211</v>
      </c>
      <c r="N24" s="21" t="str">
        <f t="shared" si="7"/>
        <v>lux</v>
      </c>
      <c r="O24" s="21">
        <v>11</v>
      </c>
      <c r="P24" s="21" t="str">
        <f t="shared" si="2"/>
        <v>lux</v>
      </c>
      <c r="Q24" s="274">
        <v>2.8</v>
      </c>
      <c r="S24" s="45"/>
      <c r="T24" s="59"/>
      <c r="V24" s="59"/>
      <c r="Z24" s="569"/>
      <c r="AB24" s="45"/>
      <c r="AC24" s="59"/>
      <c r="AD24" s="59"/>
      <c r="AF24" s="277"/>
      <c r="AJ24" s="569"/>
    </row>
    <row r="25" spans="1:37" x14ac:dyDescent="0.35">
      <c r="A25" s="53">
        <v>4</v>
      </c>
      <c r="B25" s="60">
        <v>400</v>
      </c>
      <c r="C25" s="21" t="str">
        <f t="shared" si="8"/>
        <v>lux</v>
      </c>
      <c r="D25" s="60">
        <f t="shared" si="3"/>
        <v>409</v>
      </c>
      <c r="E25" s="21" t="str">
        <f t="shared" si="4"/>
        <v>lux</v>
      </c>
      <c r="F25" s="21">
        <v>9</v>
      </c>
      <c r="G25" s="21" t="str">
        <f t="shared" si="0"/>
        <v>lux</v>
      </c>
      <c r="H25" s="274">
        <v>2.2000000000000002</v>
      </c>
      <c r="J25" s="53">
        <v>4</v>
      </c>
      <c r="K25" s="60">
        <f t="shared" si="1"/>
        <v>400</v>
      </c>
      <c r="L25" s="21" t="str">
        <f t="shared" si="5"/>
        <v>lux</v>
      </c>
      <c r="M25" s="60">
        <f t="shared" si="6"/>
        <v>441</v>
      </c>
      <c r="N25" s="21" t="str">
        <f t="shared" si="7"/>
        <v>lux</v>
      </c>
      <c r="O25" s="21">
        <v>41</v>
      </c>
      <c r="P25" s="21" t="str">
        <f t="shared" si="2"/>
        <v>lux</v>
      </c>
      <c r="Q25" s="274">
        <v>2.2999999999999998</v>
      </c>
      <c r="S25" s="45"/>
      <c r="T25" s="59"/>
      <c r="V25" s="59"/>
      <c r="Z25" s="569"/>
      <c r="AB25" s="45"/>
      <c r="AC25" s="59"/>
      <c r="AD25" s="59"/>
      <c r="AF25" s="277"/>
      <c r="AJ25" s="569"/>
    </row>
    <row r="26" spans="1:37" x14ac:dyDescent="0.35">
      <c r="A26" s="53">
        <v>5</v>
      </c>
      <c r="B26" s="60">
        <v>600</v>
      </c>
      <c r="C26" s="21" t="str">
        <f t="shared" si="8"/>
        <v>lux</v>
      </c>
      <c r="D26" s="60">
        <f t="shared" si="3"/>
        <v>624</v>
      </c>
      <c r="E26" s="21" t="str">
        <f t="shared" si="4"/>
        <v>lux</v>
      </c>
      <c r="F26" s="21">
        <v>24</v>
      </c>
      <c r="G26" s="21" t="str">
        <f t="shared" si="0"/>
        <v>lux</v>
      </c>
      <c r="H26" s="274">
        <v>2.2000000000000002</v>
      </c>
      <c r="J26" s="53">
        <v>5</v>
      </c>
      <c r="K26" s="60">
        <f t="shared" si="1"/>
        <v>600</v>
      </c>
      <c r="L26" s="21" t="str">
        <f t="shared" si="5"/>
        <v>lux</v>
      </c>
      <c r="M26" s="60">
        <f t="shared" si="6"/>
        <v>667</v>
      </c>
      <c r="N26" s="21" t="str">
        <f t="shared" si="7"/>
        <v>lux</v>
      </c>
      <c r="O26" s="21">
        <v>67</v>
      </c>
      <c r="P26" s="21" t="str">
        <f t="shared" si="2"/>
        <v>lux</v>
      </c>
      <c r="Q26" s="274">
        <v>2.7</v>
      </c>
      <c r="S26" s="45"/>
      <c r="T26" s="59"/>
      <c r="V26" s="59"/>
      <c r="Z26" s="569"/>
      <c r="AB26" s="45"/>
      <c r="AC26" s="59"/>
      <c r="AD26" s="59"/>
      <c r="AF26" s="277"/>
      <c r="AJ26" s="569"/>
    </row>
    <row r="27" spans="1:37" x14ac:dyDescent="0.35">
      <c r="A27" s="53">
        <v>6</v>
      </c>
      <c r="B27" s="60">
        <v>800</v>
      </c>
      <c r="C27" s="21" t="str">
        <f t="shared" si="8"/>
        <v>lux</v>
      </c>
      <c r="D27" s="60">
        <f t="shared" si="3"/>
        <v>843</v>
      </c>
      <c r="E27" s="21" t="str">
        <f t="shared" si="4"/>
        <v>lux</v>
      </c>
      <c r="F27" s="21">
        <v>43</v>
      </c>
      <c r="G27" s="21" t="str">
        <f t="shared" si="0"/>
        <v>lux</v>
      </c>
      <c r="H27" s="274">
        <v>2.2000000000000002</v>
      </c>
      <c r="J27" s="53">
        <v>6</v>
      </c>
      <c r="K27" s="60">
        <f t="shared" si="1"/>
        <v>800</v>
      </c>
      <c r="L27" s="21" t="str">
        <f t="shared" si="5"/>
        <v>lux</v>
      </c>
      <c r="M27" s="60">
        <f t="shared" si="6"/>
        <v>898</v>
      </c>
      <c r="N27" s="21" t="str">
        <f t="shared" si="7"/>
        <v>lux</v>
      </c>
      <c r="O27" s="21">
        <v>98</v>
      </c>
      <c r="P27" s="21" t="str">
        <f t="shared" si="2"/>
        <v>lux</v>
      </c>
      <c r="Q27" s="274">
        <v>2.5</v>
      </c>
      <c r="S27" s="45"/>
      <c r="T27" s="59"/>
      <c r="V27" s="59"/>
      <c r="Z27" s="569"/>
      <c r="AB27" s="45"/>
      <c r="AC27" s="59"/>
      <c r="AD27" s="59"/>
      <c r="AF27" s="277"/>
      <c r="AJ27" s="569"/>
    </row>
    <row r="28" spans="1:37" x14ac:dyDescent="0.35">
      <c r="A28" s="53">
        <v>7</v>
      </c>
      <c r="B28" s="60">
        <v>1000</v>
      </c>
      <c r="C28" s="21" t="str">
        <f t="shared" si="8"/>
        <v>lux</v>
      </c>
      <c r="D28" s="60">
        <f t="shared" si="3"/>
        <v>1068</v>
      </c>
      <c r="E28" s="21" t="str">
        <f t="shared" si="4"/>
        <v>lux</v>
      </c>
      <c r="F28" s="21">
        <v>68</v>
      </c>
      <c r="G28" s="21" t="str">
        <f t="shared" si="0"/>
        <v>lux</v>
      </c>
      <c r="H28" s="275">
        <v>2.2000000000000002</v>
      </c>
      <c r="J28" s="53">
        <v>7</v>
      </c>
      <c r="K28" s="60">
        <f t="shared" si="1"/>
        <v>1000</v>
      </c>
      <c r="L28" s="21" t="str">
        <f t="shared" si="5"/>
        <v>lux</v>
      </c>
      <c r="M28" s="60">
        <f t="shared" si="6"/>
        <v>1127</v>
      </c>
      <c r="N28" s="21" t="str">
        <f t="shared" si="7"/>
        <v>lux</v>
      </c>
      <c r="O28" s="21">
        <v>127</v>
      </c>
      <c r="P28" s="21" t="str">
        <f t="shared" si="2"/>
        <v>lux</v>
      </c>
      <c r="Q28" s="275">
        <v>2.4</v>
      </c>
      <c r="S28" s="45"/>
      <c r="T28" s="59"/>
      <c r="V28" s="59"/>
      <c r="Z28" s="569"/>
      <c r="AB28" s="45"/>
      <c r="AC28" s="59"/>
      <c r="AD28" s="59"/>
      <c r="AF28" s="277"/>
      <c r="AJ28" s="569"/>
    </row>
    <row r="30" spans="1:37" x14ac:dyDescent="0.35">
      <c r="B30" s="51" t="s">
        <v>93</v>
      </c>
      <c r="C30" s="21">
        <f t="array" ref="C30:D30">LINEST(D22:D28,B22:B28,1,1)</f>
        <v>1.0723270440251571</v>
      </c>
      <c r="D30" s="21">
        <v>-12.690026954177881</v>
      </c>
      <c r="E30" s="52" t="s">
        <v>98</v>
      </c>
      <c r="F30" s="52"/>
      <c r="G30" s="52"/>
      <c r="K30" s="51" t="s">
        <v>93</v>
      </c>
      <c r="L30" s="21">
        <f t="array" ref="L30:M30">LINEST(M22:M28,K22:K28,1)</f>
        <v>1.1362893081761005</v>
      </c>
      <c r="M30" s="21">
        <v>-11.75876010781667</v>
      </c>
      <c r="N30" s="52" t="s">
        <v>98</v>
      </c>
      <c r="O30" s="52"/>
      <c r="P30" s="52"/>
      <c r="T30" s="51"/>
      <c r="W30" s="52"/>
      <c r="X30" s="52"/>
      <c r="Y30" s="52"/>
      <c r="AC30" s="51"/>
      <c r="AD30" s="51"/>
      <c r="AG30" s="52"/>
      <c r="AH30" s="52"/>
      <c r="AI30" s="52"/>
    </row>
    <row r="31" spans="1:37" x14ac:dyDescent="0.35">
      <c r="A31" s="276" t="s">
        <v>239</v>
      </c>
      <c r="B31" s="51"/>
      <c r="E31" s="52"/>
      <c r="F31" s="52"/>
      <c r="G31" s="52"/>
      <c r="K31" s="51"/>
      <c r="N31" s="52"/>
      <c r="O31" s="52"/>
      <c r="P31" s="52"/>
      <c r="T31" s="51"/>
      <c r="W31" s="52"/>
      <c r="X31" s="52"/>
      <c r="Y31" s="52"/>
      <c r="AC31" s="51"/>
      <c r="AD31" s="51"/>
      <c r="AG31" s="52"/>
      <c r="AH31" s="52"/>
      <c r="AI31" s="52"/>
    </row>
    <row r="33" spans="1:37" ht="32.25" customHeight="1" x14ac:dyDescent="0.35">
      <c r="A33" s="54" t="s">
        <v>37</v>
      </c>
      <c r="B33" s="572" t="s">
        <v>52</v>
      </c>
      <c r="C33" s="573"/>
      <c r="D33" s="572" t="s">
        <v>118</v>
      </c>
      <c r="E33" s="573"/>
      <c r="F33" s="572" t="s">
        <v>116</v>
      </c>
      <c r="G33" s="573"/>
      <c r="H33" s="55" t="s">
        <v>86</v>
      </c>
      <c r="I33" s="30"/>
      <c r="J33" s="169"/>
      <c r="K33" s="571"/>
      <c r="L33" s="571"/>
      <c r="M33" s="571"/>
      <c r="N33" s="571"/>
      <c r="O33" s="574"/>
      <c r="P33" s="574"/>
      <c r="Q33" s="170"/>
      <c r="R33" s="30"/>
      <c r="S33" s="169"/>
      <c r="T33" s="571"/>
      <c r="U33" s="571"/>
      <c r="V33" s="571"/>
      <c r="W33" s="571"/>
      <c r="X33" s="571"/>
      <c r="Y33" s="571"/>
      <c r="Z33" s="170"/>
      <c r="AA33" s="30"/>
      <c r="AB33" s="169"/>
      <c r="AC33" s="571"/>
      <c r="AD33" s="571"/>
      <c r="AE33" s="571"/>
      <c r="AF33" s="571"/>
      <c r="AG33" s="571"/>
      <c r="AH33" s="571"/>
      <c r="AI33" s="571"/>
      <c r="AJ33" s="170"/>
    </row>
    <row r="34" spans="1:37" x14ac:dyDescent="0.35">
      <c r="A34" s="53">
        <v>1</v>
      </c>
      <c r="B34" s="49">
        <f t="shared" ref="B34:B40" si="9">B22</f>
        <v>50</v>
      </c>
      <c r="C34" s="58" t="s">
        <v>236</v>
      </c>
      <c r="D34" s="49">
        <f>B34+F34</f>
        <v>53</v>
      </c>
      <c r="E34" s="48" t="str">
        <f>C34</f>
        <v>lux</v>
      </c>
      <c r="F34" s="21">
        <v>3</v>
      </c>
      <c r="G34" s="48" t="str">
        <f>E34</f>
        <v>lux</v>
      </c>
      <c r="H34" s="273">
        <v>6.3</v>
      </c>
      <c r="J34" s="45"/>
      <c r="K34" s="59"/>
      <c r="M34" s="59"/>
      <c r="O34" s="282"/>
      <c r="Q34" s="569"/>
      <c r="S34" s="45"/>
      <c r="T34" s="59"/>
      <c r="U34" s="278"/>
      <c r="V34" s="59"/>
      <c r="Z34" s="570"/>
      <c r="AB34" s="45"/>
      <c r="AC34" s="59"/>
      <c r="AD34" s="59"/>
      <c r="AE34" s="278"/>
      <c r="AF34" s="279"/>
      <c r="AH34" s="277"/>
      <c r="AJ34" s="280"/>
    </row>
    <row r="35" spans="1:37" x14ac:dyDescent="0.35">
      <c r="A35" s="53">
        <v>2</v>
      </c>
      <c r="B35" s="49">
        <f t="shared" si="9"/>
        <v>100</v>
      </c>
      <c r="C35" s="48" t="str">
        <f t="shared" ref="C35:C40" si="10">$L$22</f>
        <v>lux</v>
      </c>
      <c r="D35" s="49">
        <f t="shared" ref="D35:D40" si="11">B35+F35</f>
        <v>108</v>
      </c>
      <c r="E35" s="48" t="str">
        <f t="shared" ref="E35:E40" si="12">$L$22</f>
        <v>lux</v>
      </c>
      <c r="F35" s="21">
        <v>8</v>
      </c>
      <c r="G35" s="48" t="str">
        <f t="shared" ref="G35:G40" si="13">E35</f>
        <v>lux</v>
      </c>
      <c r="H35" s="274">
        <v>3.5</v>
      </c>
      <c r="J35" s="45"/>
      <c r="K35" s="59"/>
      <c r="M35" s="59"/>
      <c r="O35" s="282"/>
      <c r="Q35" s="569"/>
      <c r="S35" s="45"/>
      <c r="T35" s="59"/>
      <c r="V35" s="59"/>
      <c r="Z35" s="570"/>
      <c r="AB35" s="45"/>
      <c r="AC35" s="59"/>
      <c r="AD35" s="59"/>
      <c r="AF35" s="279"/>
      <c r="AH35" s="277"/>
      <c r="AJ35" s="280"/>
    </row>
    <row r="36" spans="1:37" x14ac:dyDescent="0.35">
      <c r="A36" s="53">
        <v>3</v>
      </c>
      <c r="B36" s="49">
        <f t="shared" si="9"/>
        <v>200</v>
      </c>
      <c r="C36" s="48" t="str">
        <f t="shared" si="10"/>
        <v>lux</v>
      </c>
      <c r="D36" s="49">
        <f t="shared" si="11"/>
        <v>222</v>
      </c>
      <c r="E36" s="48" t="str">
        <f t="shared" si="12"/>
        <v>lux</v>
      </c>
      <c r="F36" s="21">
        <v>22</v>
      </c>
      <c r="G36" s="48" t="str">
        <f t="shared" si="13"/>
        <v>lux</v>
      </c>
      <c r="H36" s="274">
        <v>2.6</v>
      </c>
      <c r="J36" s="45"/>
      <c r="K36" s="59"/>
      <c r="M36" s="59"/>
      <c r="O36" s="282"/>
      <c r="Q36" s="569"/>
      <c r="S36" s="45"/>
      <c r="T36" s="59"/>
      <c r="V36" s="59"/>
      <c r="Z36" s="570"/>
      <c r="AB36" s="45"/>
      <c r="AC36" s="59"/>
      <c r="AD36" s="59"/>
      <c r="AF36" s="279"/>
      <c r="AH36" s="277"/>
      <c r="AJ36" s="280"/>
    </row>
    <row r="37" spans="1:37" s="30" customFormat="1" ht="17.25" customHeight="1" x14ac:dyDescent="0.35">
      <c r="A37" s="53">
        <v>4</v>
      </c>
      <c r="B37" s="49">
        <f t="shared" si="9"/>
        <v>400</v>
      </c>
      <c r="C37" s="48" t="str">
        <f t="shared" si="10"/>
        <v>lux</v>
      </c>
      <c r="D37" s="49">
        <f t="shared" si="11"/>
        <v>468</v>
      </c>
      <c r="E37" s="48" t="str">
        <f t="shared" si="12"/>
        <v>lux</v>
      </c>
      <c r="F37" s="21">
        <v>68</v>
      </c>
      <c r="G37" s="48" t="str">
        <f t="shared" si="13"/>
        <v>lux</v>
      </c>
      <c r="H37" s="274">
        <v>2.2999999999999998</v>
      </c>
      <c r="I37" s="59"/>
      <c r="J37" s="45"/>
      <c r="K37" s="59"/>
      <c r="L37" s="20"/>
      <c r="M37" s="59"/>
      <c r="N37" s="20"/>
      <c r="O37" s="282"/>
      <c r="P37" s="20"/>
      <c r="Q37" s="569"/>
      <c r="R37" s="20"/>
      <c r="S37" s="45"/>
      <c r="T37" s="59"/>
      <c r="U37" s="20"/>
      <c r="V37" s="59"/>
      <c r="W37" s="20"/>
      <c r="X37" s="20"/>
      <c r="Y37" s="20"/>
      <c r="Z37" s="570"/>
      <c r="AA37" s="20"/>
      <c r="AB37" s="45"/>
      <c r="AC37" s="59"/>
      <c r="AD37" s="59"/>
      <c r="AE37" s="20"/>
      <c r="AF37" s="279"/>
      <c r="AG37" s="20"/>
      <c r="AH37" s="277"/>
      <c r="AI37" s="20"/>
      <c r="AJ37" s="280"/>
      <c r="AK37" s="20"/>
    </row>
    <row r="38" spans="1:37" x14ac:dyDescent="0.35">
      <c r="A38" s="53">
        <v>5</v>
      </c>
      <c r="B38" s="49">
        <f t="shared" si="9"/>
        <v>600</v>
      </c>
      <c r="C38" s="48" t="str">
        <f t="shared" si="10"/>
        <v>lux</v>
      </c>
      <c r="D38" s="49">
        <f t="shared" si="11"/>
        <v>704</v>
      </c>
      <c r="E38" s="48" t="str">
        <f t="shared" si="12"/>
        <v>lux</v>
      </c>
      <c r="F38" s="21">
        <v>104</v>
      </c>
      <c r="G38" s="48" t="str">
        <f t="shared" si="13"/>
        <v>lux</v>
      </c>
      <c r="H38" s="274">
        <v>4.2</v>
      </c>
      <c r="I38" s="59"/>
      <c r="J38" s="45"/>
      <c r="K38" s="59"/>
      <c r="M38" s="59"/>
      <c r="O38" s="282"/>
      <c r="Q38" s="569"/>
      <c r="S38" s="45"/>
      <c r="T38" s="59"/>
      <c r="V38" s="59"/>
      <c r="Z38" s="570"/>
      <c r="AB38" s="45"/>
      <c r="AC38" s="59"/>
      <c r="AD38" s="59"/>
      <c r="AF38" s="279"/>
      <c r="AH38" s="277"/>
      <c r="AJ38" s="280"/>
    </row>
    <row r="39" spans="1:37" x14ac:dyDescent="0.35">
      <c r="A39" s="53">
        <v>6</v>
      </c>
      <c r="B39" s="49">
        <f t="shared" si="9"/>
        <v>800</v>
      </c>
      <c r="C39" s="48" t="str">
        <f t="shared" si="10"/>
        <v>lux</v>
      </c>
      <c r="D39" s="49">
        <f t="shared" si="11"/>
        <v>948</v>
      </c>
      <c r="E39" s="48" t="str">
        <f t="shared" si="12"/>
        <v>lux</v>
      </c>
      <c r="F39" s="21">
        <v>148</v>
      </c>
      <c r="G39" s="48" t="str">
        <f t="shared" si="13"/>
        <v>lux</v>
      </c>
      <c r="H39" s="274">
        <v>3.4</v>
      </c>
      <c r="I39" s="59"/>
      <c r="J39" s="45"/>
      <c r="K39" s="59"/>
      <c r="M39" s="59"/>
      <c r="O39" s="282"/>
      <c r="Q39" s="569"/>
      <c r="AB39" s="45"/>
      <c r="AC39" s="45"/>
      <c r="AD39" s="45"/>
      <c r="AF39" s="279"/>
      <c r="AH39" s="277"/>
      <c r="AJ39" s="280"/>
    </row>
    <row r="40" spans="1:37" x14ac:dyDescent="0.35">
      <c r="A40" s="53">
        <v>7</v>
      </c>
      <c r="B40" s="49">
        <f t="shared" si="9"/>
        <v>1000</v>
      </c>
      <c r="C40" s="48" t="str">
        <f t="shared" si="10"/>
        <v>lux</v>
      </c>
      <c r="D40" s="49">
        <f t="shared" si="11"/>
        <v>1187</v>
      </c>
      <c r="E40" s="48" t="str">
        <f t="shared" si="12"/>
        <v>lux</v>
      </c>
      <c r="F40" s="21">
        <v>187</v>
      </c>
      <c r="G40" s="48" t="str">
        <f t="shared" si="13"/>
        <v>lux</v>
      </c>
      <c r="H40" s="275">
        <v>2.9</v>
      </c>
      <c r="I40" s="59"/>
      <c r="J40" s="45"/>
      <c r="K40" s="59"/>
      <c r="M40" s="59"/>
      <c r="O40" s="282"/>
      <c r="Q40" s="569"/>
      <c r="T40" s="51"/>
      <c r="W40" s="52"/>
      <c r="X40" s="52"/>
      <c r="Y40" s="52"/>
      <c r="AB40" s="45"/>
      <c r="AC40" s="45"/>
      <c r="AD40" s="45"/>
      <c r="AF40" s="279"/>
      <c r="AH40" s="277"/>
      <c r="AJ40" s="280"/>
    </row>
    <row r="41" spans="1:37" x14ac:dyDescent="0.35">
      <c r="I41" s="59"/>
      <c r="T41" s="51"/>
      <c r="W41" s="52"/>
      <c r="X41" s="52"/>
      <c r="Y41" s="52"/>
      <c r="AB41" s="45"/>
      <c r="AC41" s="45"/>
      <c r="AD41" s="45"/>
      <c r="AF41" s="279"/>
      <c r="AH41" s="277"/>
      <c r="AJ41" s="45"/>
    </row>
    <row r="42" spans="1:37" x14ac:dyDescent="0.35">
      <c r="B42" s="51" t="s">
        <v>93</v>
      </c>
      <c r="C42" s="284">
        <f t="array" ref="C42:D42">LINEST(D34:D40,B34:B40,1,1)</f>
        <v>1.1979245283018867</v>
      </c>
      <c r="D42" s="284">
        <v>-11.923180592991912</v>
      </c>
      <c r="E42" s="52" t="s">
        <v>98</v>
      </c>
      <c r="F42" s="52"/>
      <c r="G42" s="52"/>
      <c r="I42" s="59"/>
      <c r="K42" s="51"/>
      <c r="M42" s="283"/>
      <c r="N42" s="52"/>
      <c r="T42" s="51"/>
      <c r="W42" s="52"/>
      <c r="X42" s="52"/>
      <c r="Y42" s="52"/>
      <c r="AC42" s="51"/>
      <c r="AD42" s="51"/>
      <c r="AG42" s="52"/>
      <c r="AH42" s="52"/>
      <c r="AI42" s="52"/>
    </row>
    <row r="43" spans="1:37" x14ac:dyDescent="0.35">
      <c r="A43" s="576"/>
      <c r="B43" s="576"/>
      <c r="E43" s="52"/>
      <c r="F43" s="52"/>
      <c r="G43" s="52"/>
      <c r="I43" s="59"/>
      <c r="K43" s="51"/>
      <c r="N43" s="52"/>
      <c r="T43" s="51"/>
      <c r="W43" s="52"/>
      <c r="X43" s="52"/>
      <c r="Y43" s="52"/>
      <c r="AC43" s="51"/>
      <c r="AD43" s="51"/>
      <c r="AG43" s="52"/>
      <c r="AH43" s="52"/>
      <c r="AI43" s="52"/>
    </row>
    <row r="44" spans="1:37" x14ac:dyDescent="0.35">
      <c r="I44" s="20" t="s">
        <v>80</v>
      </c>
    </row>
    <row r="45" spans="1:37" x14ac:dyDescent="0.35">
      <c r="A45" s="169"/>
      <c r="B45" s="571"/>
      <c r="C45" s="571"/>
      <c r="D45" s="571"/>
      <c r="E45" s="571"/>
      <c r="F45" s="571"/>
      <c r="G45" s="571"/>
      <c r="H45" s="170"/>
      <c r="I45" s="30"/>
      <c r="J45" s="169"/>
      <c r="K45" s="571"/>
      <c r="L45" s="571"/>
      <c r="M45" s="571"/>
      <c r="N45" s="571"/>
      <c r="O45" s="571"/>
      <c r="P45" s="571"/>
      <c r="Q45" s="170"/>
      <c r="R45" s="30"/>
      <c r="S45" s="169"/>
      <c r="T45" s="571"/>
      <c r="U45" s="571"/>
      <c r="V45" s="571"/>
      <c r="W45" s="571"/>
      <c r="X45" s="571"/>
      <c r="Y45" s="571"/>
      <c r="Z45" s="170"/>
      <c r="AA45" s="30"/>
      <c r="AB45" s="169"/>
      <c r="AC45" s="571"/>
      <c r="AD45" s="571"/>
      <c r="AE45" s="571"/>
      <c r="AF45" s="571"/>
      <c r="AG45" s="571"/>
      <c r="AH45" s="571"/>
      <c r="AI45" s="571"/>
      <c r="AJ45" s="170"/>
    </row>
    <row r="46" spans="1:37" x14ac:dyDescent="0.35">
      <c r="A46" s="45"/>
      <c r="B46" s="59"/>
      <c r="D46" s="59"/>
      <c r="H46" s="569"/>
      <c r="J46" s="45"/>
      <c r="K46" s="59"/>
      <c r="M46" s="59"/>
      <c r="Q46" s="569"/>
      <c r="S46" s="45"/>
      <c r="T46" s="59"/>
      <c r="V46" s="59"/>
      <c r="X46" s="277"/>
      <c r="Z46" s="569"/>
      <c r="AB46" s="45"/>
      <c r="AC46" s="59"/>
      <c r="AD46" s="59"/>
      <c r="AF46" s="277"/>
      <c r="AJ46" s="569"/>
    </row>
    <row r="47" spans="1:37" x14ac:dyDescent="0.35">
      <c r="A47" s="45"/>
      <c r="B47" s="59"/>
      <c r="D47" s="59"/>
      <c r="F47" s="277"/>
      <c r="H47" s="569"/>
      <c r="J47" s="45"/>
      <c r="K47" s="59"/>
      <c r="M47" s="59"/>
      <c r="Q47" s="569"/>
      <c r="S47" s="45"/>
      <c r="T47" s="59"/>
      <c r="V47" s="59"/>
      <c r="Z47" s="569"/>
      <c r="AB47" s="45"/>
      <c r="AC47" s="59"/>
      <c r="AD47" s="59"/>
      <c r="AF47" s="277"/>
      <c r="AJ47" s="569"/>
    </row>
    <row r="48" spans="1:37" x14ac:dyDescent="0.35">
      <c r="A48" s="45"/>
      <c r="B48" s="59"/>
      <c r="D48" s="59"/>
      <c r="H48" s="569"/>
      <c r="J48" s="45"/>
      <c r="K48" s="59"/>
      <c r="M48" s="59"/>
      <c r="O48" s="277"/>
      <c r="Q48" s="569"/>
      <c r="S48" s="45"/>
      <c r="T48" s="59"/>
      <c r="V48" s="59"/>
      <c r="Z48" s="569"/>
      <c r="AB48" s="45"/>
      <c r="AC48" s="59"/>
      <c r="AD48" s="59"/>
      <c r="AF48" s="277"/>
      <c r="AH48" s="277"/>
      <c r="AJ48" s="569"/>
    </row>
    <row r="49" spans="1:36" x14ac:dyDescent="0.35">
      <c r="A49" s="45"/>
      <c r="B49" s="59"/>
      <c r="D49" s="59"/>
      <c r="H49" s="569"/>
      <c r="J49" s="45"/>
      <c r="K49" s="59"/>
      <c r="M49" s="59"/>
      <c r="Q49" s="569"/>
      <c r="S49" s="45"/>
      <c r="T49" s="59"/>
      <c r="V49" s="59"/>
      <c r="Z49" s="569"/>
      <c r="AB49" s="45"/>
      <c r="AC49" s="59"/>
      <c r="AD49" s="59"/>
      <c r="AF49" s="277"/>
      <c r="AJ49" s="569"/>
    </row>
    <row r="50" spans="1:36" x14ac:dyDescent="0.35">
      <c r="A50" s="45"/>
      <c r="B50" s="59"/>
      <c r="D50" s="59"/>
      <c r="F50" s="277"/>
      <c r="H50" s="569"/>
      <c r="J50" s="45"/>
      <c r="K50" s="59"/>
      <c r="M50" s="59"/>
      <c r="O50" s="277"/>
      <c r="Q50" s="569"/>
      <c r="S50" s="45"/>
      <c r="T50" s="59"/>
      <c r="V50" s="59"/>
      <c r="Z50" s="569"/>
      <c r="AB50" s="45"/>
      <c r="AC50" s="59"/>
      <c r="AD50" s="59"/>
      <c r="AF50" s="277"/>
      <c r="AJ50" s="569"/>
    </row>
    <row r="51" spans="1:36" x14ac:dyDescent="0.35">
      <c r="A51" s="45"/>
      <c r="B51" s="59"/>
      <c r="D51" s="59"/>
      <c r="H51" s="569"/>
      <c r="J51" s="45"/>
      <c r="K51" s="59"/>
      <c r="M51" s="59"/>
      <c r="Q51" s="569"/>
      <c r="S51" s="45"/>
      <c r="T51" s="59"/>
      <c r="V51" s="59"/>
      <c r="X51" s="277"/>
      <c r="Z51" s="569"/>
      <c r="AB51" s="45"/>
      <c r="AC51" s="59"/>
      <c r="AD51" s="59"/>
      <c r="AF51" s="277"/>
      <c r="AJ51" s="569"/>
    </row>
    <row r="52" spans="1:36" x14ac:dyDescent="0.35">
      <c r="A52" s="45"/>
      <c r="B52" s="59"/>
      <c r="D52" s="59"/>
      <c r="H52" s="569"/>
      <c r="J52" s="45"/>
      <c r="K52" s="59"/>
      <c r="M52" s="59"/>
      <c r="Q52" s="569"/>
      <c r="S52" s="45"/>
      <c r="T52" s="59"/>
      <c r="V52" s="59"/>
      <c r="Z52" s="569"/>
      <c r="AB52" s="45"/>
      <c r="AC52" s="59"/>
      <c r="AD52" s="59"/>
      <c r="AF52" s="277"/>
      <c r="AJ52" s="569"/>
    </row>
    <row r="54" spans="1:36" x14ac:dyDescent="0.35">
      <c r="B54" s="51"/>
      <c r="E54" s="52"/>
      <c r="F54" s="52"/>
      <c r="G54" s="52"/>
      <c r="K54" s="51"/>
      <c r="N54" s="52"/>
      <c r="O54" s="52"/>
      <c r="P54" s="52"/>
      <c r="T54" s="51"/>
      <c r="W54" s="52"/>
      <c r="X54" s="52"/>
      <c r="Y54" s="52"/>
      <c r="AC54" s="51"/>
      <c r="AD54" s="51"/>
      <c r="AG54" s="52"/>
      <c r="AH54" s="52"/>
      <c r="AI54" s="52"/>
    </row>
    <row r="55" spans="1:36" x14ac:dyDescent="0.35">
      <c r="B55" s="51"/>
      <c r="E55" s="52"/>
      <c r="F55" s="52"/>
      <c r="G55" s="52"/>
      <c r="K55" s="51"/>
      <c r="N55" s="52"/>
      <c r="O55" s="52"/>
      <c r="P55" s="52"/>
      <c r="T55" s="51"/>
      <c r="W55" s="52"/>
      <c r="X55" s="52"/>
      <c r="Y55" s="52"/>
      <c r="AC55" s="51"/>
      <c r="AD55" s="51"/>
      <c r="AG55" s="52"/>
      <c r="AH55" s="52"/>
      <c r="AI55" s="52"/>
    </row>
    <row r="57" spans="1:36" x14ac:dyDescent="0.35">
      <c r="A57" s="169"/>
      <c r="B57" s="571"/>
      <c r="C57" s="571"/>
      <c r="D57" s="571"/>
      <c r="E57" s="571"/>
      <c r="F57" s="571"/>
      <c r="G57" s="571"/>
      <c r="H57" s="170"/>
      <c r="I57" s="30"/>
      <c r="J57" s="169"/>
      <c r="K57" s="571"/>
      <c r="L57" s="571"/>
      <c r="M57" s="571"/>
      <c r="N57" s="571"/>
      <c r="O57" s="574"/>
      <c r="P57" s="574"/>
      <c r="Q57" s="170"/>
      <c r="R57" s="30"/>
      <c r="S57" s="169"/>
      <c r="T57" s="571"/>
      <c r="U57" s="571"/>
      <c r="V57" s="571"/>
      <c r="W57" s="571"/>
      <c r="X57" s="571"/>
      <c r="Y57" s="571"/>
      <c r="Z57" s="170"/>
      <c r="AA57" s="30"/>
      <c r="AB57" s="169"/>
      <c r="AC57" s="571"/>
      <c r="AD57" s="571"/>
      <c r="AE57" s="571"/>
      <c r="AF57" s="571"/>
      <c r="AG57" s="571"/>
      <c r="AH57" s="571"/>
      <c r="AI57" s="571"/>
      <c r="AJ57" s="170"/>
    </row>
    <row r="58" spans="1:36" x14ac:dyDescent="0.35">
      <c r="A58" s="45"/>
      <c r="B58" s="59"/>
      <c r="D58" s="59"/>
      <c r="H58" s="569"/>
      <c r="J58" s="45"/>
      <c r="K58" s="59"/>
      <c r="M58" s="59"/>
      <c r="O58" s="282"/>
      <c r="Q58" s="569"/>
      <c r="S58" s="45"/>
      <c r="T58" s="59"/>
      <c r="U58" s="278"/>
      <c r="V58" s="59"/>
      <c r="Z58" s="570"/>
      <c r="AB58" s="45"/>
      <c r="AC58" s="59"/>
      <c r="AD58" s="59"/>
      <c r="AE58" s="278"/>
      <c r="AF58" s="279"/>
      <c r="AH58" s="277"/>
      <c r="AJ58" s="280"/>
    </row>
    <row r="59" spans="1:36" x14ac:dyDescent="0.35">
      <c r="A59" s="45"/>
      <c r="B59" s="59"/>
      <c r="D59" s="59"/>
      <c r="H59" s="569"/>
      <c r="J59" s="45"/>
      <c r="K59" s="59"/>
      <c r="M59" s="59"/>
      <c r="O59" s="282"/>
      <c r="Q59" s="569"/>
      <c r="S59" s="45"/>
      <c r="T59" s="59"/>
      <c r="V59" s="59"/>
      <c r="Z59" s="570"/>
      <c r="AB59" s="45"/>
      <c r="AC59" s="59"/>
      <c r="AD59" s="59"/>
      <c r="AF59" s="279"/>
      <c r="AH59" s="277"/>
      <c r="AJ59" s="280"/>
    </row>
    <row r="60" spans="1:36" x14ac:dyDescent="0.35">
      <c r="A60" s="45"/>
      <c r="B60" s="59"/>
      <c r="D60" s="59"/>
      <c r="H60" s="569"/>
      <c r="J60" s="45"/>
      <c r="K60" s="59"/>
      <c r="M60" s="59"/>
      <c r="O60" s="282"/>
      <c r="Q60" s="569"/>
      <c r="S60" s="45"/>
      <c r="T60" s="59"/>
      <c r="V60" s="59"/>
      <c r="Z60" s="570"/>
      <c r="AB60" s="45"/>
      <c r="AC60" s="59"/>
      <c r="AD60" s="59"/>
      <c r="AF60" s="279"/>
      <c r="AH60" s="277"/>
      <c r="AJ60" s="280"/>
    </row>
    <row r="61" spans="1:36" x14ac:dyDescent="0.35">
      <c r="A61" s="45"/>
      <c r="B61" s="59"/>
      <c r="D61" s="59"/>
      <c r="H61" s="569"/>
      <c r="I61" s="59"/>
      <c r="J61" s="45"/>
      <c r="K61" s="59"/>
      <c r="M61" s="59"/>
      <c r="O61" s="282"/>
      <c r="Q61" s="569"/>
      <c r="S61" s="45"/>
      <c r="T61" s="59"/>
      <c r="V61" s="59"/>
      <c r="Z61" s="570"/>
      <c r="AB61" s="45"/>
      <c r="AC61" s="59"/>
      <c r="AD61" s="59"/>
      <c r="AF61" s="279"/>
      <c r="AH61" s="277"/>
      <c r="AJ61" s="280"/>
    </row>
    <row r="62" spans="1:36" x14ac:dyDescent="0.35">
      <c r="A62" s="45"/>
      <c r="B62" s="59"/>
      <c r="D62" s="59"/>
      <c r="H62" s="569"/>
      <c r="I62" s="59"/>
      <c r="J62" s="45"/>
      <c r="K62" s="59"/>
      <c r="M62" s="59"/>
      <c r="O62" s="282"/>
      <c r="Q62" s="569"/>
      <c r="S62" s="45"/>
      <c r="T62" s="59"/>
      <c r="V62" s="59"/>
      <c r="Z62" s="570"/>
      <c r="AB62" s="45"/>
      <c r="AC62" s="59"/>
      <c r="AD62" s="59"/>
      <c r="AF62" s="279"/>
      <c r="AH62" s="277"/>
      <c r="AJ62" s="280"/>
    </row>
    <row r="63" spans="1:36" x14ac:dyDescent="0.35">
      <c r="A63" s="45"/>
      <c r="B63" s="59"/>
      <c r="D63" s="59"/>
      <c r="H63" s="569"/>
      <c r="I63" s="59"/>
      <c r="J63" s="45"/>
      <c r="K63" s="59"/>
      <c r="M63" s="59"/>
      <c r="O63" s="282"/>
      <c r="Q63" s="569"/>
      <c r="AB63" s="45"/>
      <c r="AC63" s="45"/>
      <c r="AD63" s="45"/>
      <c r="AF63" s="279"/>
      <c r="AH63" s="277"/>
      <c r="AJ63" s="280"/>
    </row>
    <row r="64" spans="1:36" x14ac:dyDescent="0.35">
      <c r="A64" s="45"/>
      <c r="B64" s="59"/>
      <c r="D64" s="59"/>
      <c r="H64" s="569"/>
      <c r="I64" s="59"/>
      <c r="J64" s="45"/>
      <c r="K64" s="59"/>
      <c r="M64" s="59"/>
      <c r="O64" s="282"/>
      <c r="Q64" s="569"/>
      <c r="T64" s="51"/>
      <c r="W64" s="52"/>
      <c r="X64" s="52"/>
      <c r="Y64" s="52"/>
      <c r="AB64" s="45"/>
      <c r="AC64" s="45"/>
      <c r="AD64" s="45"/>
      <c r="AF64" s="279"/>
      <c r="AH64" s="277"/>
      <c r="AJ64" s="280"/>
    </row>
    <row r="65" spans="1:36" x14ac:dyDescent="0.35">
      <c r="I65" s="59"/>
      <c r="T65" s="51"/>
      <c r="W65" s="52"/>
      <c r="X65" s="52"/>
      <c r="Y65" s="52"/>
      <c r="AB65" s="45"/>
      <c r="AC65" s="45"/>
      <c r="AD65" s="45"/>
      <c r="AF65" s="279"/>
      <c r="AH65" s="277"/>
      <c r="AJ65" s="45"/>
    </row>
    <row r="66" spans="1:36" x14ac:dyDescent="0.35">
      <c r="B66" s="51"/>
      <c r="E66" s="52"/>
      <c r="F66" s="52"/>
      <c r="G66" s="52"/>
      <c r="I66" s="59"/>
      <c r="K66" s="51"/>
      <c r="M66" s="283"/>
      <c r="N66" s="52"/>
      <c r="T66" s="51"/>
      <c r="W66" s="52"/>
      <c r="X66" s="52"/>
      <c r="Y66" s="52"/>
      <c r="AC66" s="51"/>
      <c r="AD66" s="51"/>
      <c r="AG66" s="52"/>
      <c r="AH66" s="52"/>
      <c r="AI66" s="52"/>
    </row>
    <row r="67" spans="1:36" x14ac:dyDescent="0.35">
      <c r="A67" s="576"/>
      <c r="B67" s="576"/>
      <c r="E67" s="52"/>
      <c r="F67" s="52"/>
      <c r="G67" s="52"/>
    </row>
    <row r="68" spans="1:36" x14ac:dyDescent="0.35">
      <c r="I68" s="20" t="s">
        <v>80</v>
      </c>
    </row>
    <row r="69" spans="1:36" ht="32.25" customHeight="1" x14ac:dyDescent="0.35">
      <c r="A69" s="169"/>
      <c r="B69" s="571"/>
      <c r="C69" s="571"/>
      <c r="D69" s="571"/>
      <c r="E69" s="571"/>
      <c r="F69" s="571"/>
      <c r="G69" s="571"/>
      <c r="H69" s="170"/>
      <c r="I69" s="30"/>
      <c r="J69" s="169"/>
      <c r="K69" s="571"/>
      <c r="L69" s="571"/>
      <c r="M69" s="571"/>
      <c r="N69" s="571"/>
      <c r="O69" s="571"/>
      <c r="P69" s="571"/>
      <c r="Q69" s="170"/>
      <c r="R69" s="30"/>
      <c r="S69" s="169"/>
      <c r="T69" s="571"/>
      <c r="U69" s="571"/>
      <c r="V69" s="571"/>
      <c r="W69" s="571"/>
      <c r="X69" s="571"/>
      <c r="Y69" s="571"/>
      <c r="Z69" s="170"/>
      <c r="AA69" s="30"/>
      <c r="AB69" s="169"/>
      <c r="AC69" s="571"/>
      <c r="AD69" s="571"/>
      <c r="AE69" s="571"/>
      <c r="AF69" s="571"/>
      <c r="AG69" s="571"/>
      <c r="AH69" s="571"/>
      <c r="AI69" s="571"/>
      <c r="AJ69" s="170"/>
    </row>
    <row r="70" spans="1:36" x14ac:dyDescent="0.35">
      <c r="A70" s="45"/>
      <c r="B70" s="59"/>
      <c r="D70" s="59"/>
      <c r="H70" s="569"/>
      <c r="J70" s="45"/>
      <c r="K70" s="59"/>
      <c r="M70" s="59"/>
      <c r="Q70" s="569"/>
      <c r="S70" s="45"/>
      <c r="T70" s="59"/>
      <c r="V70" s="59"/>
      <c r="Z70" s="569"/>
      <c r="AB70" s="45"/>
      <c r="AC70" s="59"/>
      <c r="AD70" s="59"/>
      <c r="AF70" s="277"/>
      <c r="AJ70" s="569"/>
    </row>
    <row r="71" spans="1:36" x14ac:dyDescent="0.35">
      <c r="A71" s="45"/>
      <c r="B71" s="59"/>
      <c r="D71" s="59"/>
      <c r="H71" s="569"/>
      <c r="J71" s="45"/>
      <c r="K71" s="59"/>
      <c r="M71" s="59"/>
      <c r="Q71" s="569"/>
      <c r="S71" s="45"/>
      <c r="T71" s="59"/>
      <c r="V71" s="59"/>
      <c r="Z71" s="569"/>
      <c r="AB71" s="45"/>
      <c r="AC71" s="59"/>
      <c r="AD71" s="59"/>
      <c r="AF71" s="277"/>
      <c r="AJ71" s="569"/>
    </row>
    <row r="72" spans="1:36" x14ac:dyDescent="0.35">
      <c r="A72" s="45"/>
      <c r="B72" s="59"/>
      <c r="D72" s="59"/>
      <c r="H72" s="569"/>
      <c r="J72" s="45"/>
      <c r="K72" s="59"/>
      <c r="M72" s="59"/>
      <c r="Q72" s="569"/>
      <c r="S72" s="45"/>
      <c r="T72" s="59"/>
      <c r="V72" s="59"/>
      <c r="Z72" s="569"/>
      <c r="AB72" s="45"/>
      <c r="AC72" s="59"/>
      <c r="AD72" s="59"/>
      <c r="AF72" s="277"/>
      <c r="AJ72" s="569"/>
    </row>
    <row r="73" spans="1:36" x14ac:dyDescent="0.35">
      <c r="A73" s="45"/>
      <c r="B73" s="59"/>
      <c r="D73" s="59"/>
      <c r="H73" s="569"/>
      <c r="J73" s="45"/>
      <c r="K73" s="59"/>
      <c r="M73" s="59"/>
      <c r="Q73" s="569"/>
      <c r="S73" s="45"/>
      <c r="T73" s="59"/>
      <c r="V73" s="59"/>
      <c r="X73" s="277"/>
      <c r="Z73" s="569"/>
      <c r="AB73" s="45"/>
      <c r="AC73" s="59"/>
      <c r="AD73" s="59"/>
      <c r="AF73" s="277"/>
      <c r="AJ73" s="569"/>
    </row>
    <row r="74" spans="1:36" x14ac:dyDescent="0.35">
      <c r="A74" s="45"/>
      <c r="B74" s="59"/>
      <c r="D74" s="59"/>
      <c r="H74" s="569"/>
      <c r="J74" s="45"/>
      <c r="K74" s="59"/>
      <c r="M74" s="59"/>
      <c r="Q74" s="569"/>
      <c r="S74" s="45"/>
      <c r="T74" s="59"/>
      <c r="V74" s="59"/>
      <c r="Z74" s="569"/>
      <c r="AB74" s="45"/>
      <c r="AC74" s="59"/>
      <c r="AD74" s="59"/>
      <c r="AF74" s="277"/>
      <c r="AJ74" s="569"/>
    </row>
    <row r="75" spans="1:36" x14ac:dyDescent="0.35">
      <c r="A75" s="45"/>
      <c r="B75" s="59"/>
      <c r="D75" s="59"/>
      <c r="H75" s="569"/>
      <c r="J75" s="45"/>
      <c r="K75" s="59"/>
      <c r="M75" s="59"/>
      <c r="Q75" s="569"/>
      <c r="S75" s="45"/>
      <c r="T75" s="59"/>
      <c r="V75" s="59"/>
      <c r="Z75" s="569"/>
      <c r="AB75" s="45"/>
      <c r="AC75" s="59"/>
      <c r="AD75" s="59"/>
      <c r="AF75" s="277"/>
      <c r="AJ75" s="569"/>
    </row>
    <row r="76" spans="1:36" x14ac:dyDescent="0.35">
      <c r="A76" s="45"/>
      <c r="B76" s="59"/>
      <c r="D76" s="59"/>
      <c r="H76" s="569"/>
      <c r="J76" s="45"/>
      <c r="K76" s="59"/>
      <c r="M76" s="59"/>
      <c r="O76" s="277"/>
      <c r="Q76" s="569"/>
      <c r="S76" s="45"/>
      <c r="T76" s="59"/>
      <c r="V76" s="59"/>
      <c r="Z76" s="569"/>
      <c r="AB76" s="45"/>
      <c r="AC76" s="59"/>
      <c r="AD76" s="59"/>
      <c r="AF76" s="277"/>
      <c r="AJ76" s="569"/>
    </row>
    <row r="78" spans="1:36" x14ac:dyDescent="0.35">
      <c r="B78" s="51"/>
      <c r="E78" s="52"/>
      <c r="F78" s="52"/>
      <c r="G78" s="52"/>
      <c r="K78" s="51"/>
      <c r="N78" s="52"/>
      <c r="O78" s="52"/>
      <c r="P78" s="52"/>
      <c r="T78" s="51"/>
      <c r="W78" s="52"/>
      <c r="X78" s="52"/>
      <c r="Y78" s="52"/>
      <c r="AC78" s="51"/>
      <c r="AD78" s="51"/>
      <c r="AG78" s="52"/>
      <c r="AH78" s="52"/>
      <c r="AI78" s="52"/>
    </row>
    <row r="79" spans="1:36" x14ac:dyDescent="0.35">
      <c r="B79" s="51"/>
      <c r="E79" s="52"/>
      <c r="F79" s="52"/>
      <c r="G79" s="52"/>
      <c r="K79" s="51"/>
      <c r="N79" s="52"/>
      <c r="O79" s="52"/>
      <c r="P79" s="52"/>
      <c r="T79" s="51"/>
      <c r="W79" s="52"/>
      <c r="X79" s="52"/>
      <c r="Y79" s="52"/>
      <c r="AC79" s="51"/>
      <c r="AD79" s="51"/>
      <c r="AG79" s="52"/>
      <c r="AH79" s="52"/>
      <c r="AI79" s="52"/>
    </row>
    <row r="81" spans="1:36" x14ac:dyDescent="0.35">
      <c r="A81" s="169"/>
      <c r="B81" s="571"/>
      <c r="C81" s="571"/>
      <c r="D81" s="571"/>
      <c r="E81" s="571"/>
      <c r="F81" s="571"/>
      <c r="G81" s="571"/>
      <c r="H81" s="170"/>
      <c r="I81" s="30"/>
      <c r="J81" s="169"/>
      <c r="K81" s="571"/>
      <c r="L81" s="571"/>
      <c r="M81" s="571"/>
      <c r="N81" s="571"/>
      <c r="O81" s="574"/>
      <c r="P81" s="574"/>
      <c r="Q81" s="170"/>
      <c r="R81" s="30"/>
      <c r="S81" s="169"/>
      <c r="T81" s="571"/>
      <c r="U81" s="571"/>
      <c r="V81" s="571"/>
      <c r="W81" s="571"/>
      <c r="X81" s="571"/>
      <c r="Y81" s="571"/>
      <c r="Z81" s="170"/>
      <c r="AA81" s="30"/>
      <c r="AB81" s="169"/>
      <c r="AC81" s="571"/>
      <c r="AD81" s="571"/>
      <c r="AE81" s="571"/>
      <c r="AF81" s="571"/>
      <c r="AG81" s="571"/>
      <c r="AH81" s="571"/>
      <c r="AI81" s="571"/>
      <c r="AJ81" s="170"/>
    </row>
    <row r="82" spans="1:36" x14ac:dyDescent="0.35">
      <c r="A82" s="45"/>
      <c r="B82" s="59"/>
      <c r="D82" s="59"/>
      <c r="H82" s="569"/>
      <c r="J82" s="45"/>
      <c r="K82" s="59"/>
      <c r="M82" s="59"/>
      <c r="O82" s="282"/>
      <c r="Q82" s="569"/>
      <c r="S82" s="45"/>
      <c r="T82" s="59"/>
      <c r="U82" s="278"/>
      <c r="V82" s="59"/>
      <c r="Z82" s="570"/>
      <c r="AB82" s="45"/>
      <c r="AC82" s="59"/>
      <c r="AD82" s="59"/>
      <c r="AE82" s="278"/>
      <c r="AF82" s="279"/>
      <c r="AH82" s="277"/>
      <c r="AJ82" s="280"/>
    </row>
    <row r="83" spans="1:36" x14ac:dyDescent="0.35">
      <c r="A83" s="45"/>
      <c r="B83" s="59"/>
      <c r="D83" s="59"/>
      <c r="H83" s="569"/>
      <c r="J83" s="45"/>
      <c r="K83" s="59"/>
      <c r="M83" s="59"/>
      <c r="O83" s="282"/>
      <c r="Q83" s="569"/>
      <c r="S83" s="45"/>
      <c r="T83" s="59"/>
      <c r="V83" s="59"/>
      <c r="Z83" s="570"/>
      <c r="AB83" s="45"/>
      <c r="AC83" s="59"/>
      <c r="AD83" s="59"/>
      <c r="AF83" s="279"/>
      <c r="AH83" s="277"/>
      <c r="AJ83" s="280"/>
    </row>
    <row r="84" spans="1:36" x14ac:dyDescent="0.35">
      <c r="A84" s="45"/>
      <c r="B84" s="59"/>
      <c r="D84" s="59"/>
      <c r="H84" s="569"/>
      <c r="J84" s="45"/>
      <c r="K84" s="59"/>
      <c r="M84" s="59"/>
      <c r="O84" s="282"/>
      <c r="Q84" s="569"/>
      <c r="S84" s="45"/>
      <c r="T84" s="59"/>
      <c r="V84" s="59"/>
      <c r="Z84" s="570"/>
      <c r="AB84" s="45"/>
      <c r="AC84" s="59"/>
      <c r="AD84" s="59"/>
      <c r="AF84" s="279"/>
      <c r="AH84" s="277"/>
      <c r="AJ84" s="280"/>
    </row>
    <row r="85" spans="1:36" ht="27.75" customHeight="1" x14ac:dyDescent="0.35">
      <c r="A85" s="45"/>
      <c r="B85" s="59"/>
      <c r="D85" s="59"/>
      <c r="H85" s="569"/>
      <c r="I85" s="59"/>
      <c r="J85" s="45"/>
      <c r="K85" s="59"/>
      <c r="M85" s="59"/>
      <c r="O85" s="282"/>
      <c r="Q85" s="569"/>
      <c r="S85" s="45"/>
      <c r="T85" s="59"/>
      <c r="V85" s="59"/>
      <c r="Z85" s="570"/>
      <c r="AB85" s="45"/>
      <c r="AC85" s="59"/>
      <c r="AD85" s="59"/>
      <c r="AF85" s="279"/>
      <c r="AH85" s="277"/>
      <c r="AJ85" s="280"/>
    </row>
    <row r="86" spans="1:36" x14ac:dyDescent="0.35">
      <c r="A86" s="45"/>
      <c r="B86" s="59"/>
      <c r="D86" s="59"/>
      <c r="H86" s="569"/>
      <c r="I86" s="59"/>
      <c r="J86" s="45"/>
      <c r="K86" s="59"/>
      <c r="M86" s="59"/>
      <c r="O86" s="282"/>
      <c r="Q86" s="569"/>
      <c r="S86" s="45"/>
      <c r="T86" s="59"/>
      <c r="V86" s="59"/>
      <c r="Z86" s="570"/>
      <c r="AB86" s="45"/>
      <c r="AC86" s="59"/>
      <c r="AD86" s="59"/>
      <c r="AF86" s="279"/>
      <c r="AH86" s="277"/>
      <c r="AJ86" s="280"/>
    </row>
    <row r="87" spans="1:36" x14ac:dyDescent="0.35">
      <c r="A87" s="45"/>
      <c r="B87" s="59"/>
      <c r="D87" s="59"/>
      <c r="H87" s="569"/>
      <c r="I87" s="59"/>
      <c r="J87" s="45"/>
      <c r="K87" s="59"/>
      <c r="M87" s="59"/>
      <c r="O87" s="282"/>
      <c r="Q87" s="569"/>
      <c r="AB87" s="45"/>
      <c r="AC87" s="45"/>
      <c r="AD87" s="45"/>
      <c r="AF87" s="279"/>
      <c r="AH87" s="277"/>
      <c r="AJ87" s="280"/>
    </row>
    <row r="88" spans="1:36" x14ac:dyDescent="0.35">
      <c r="A88" s="45"/>
      <c r="B88" s="59"/>
      <c r="D88" s="59"/>
      <c r="H88" s="569"/>
      <c r="I88" s="59"/>
      <c r="J88" s="45"/>
      <c r="K88" s="59"/>
      <c r="M88" s="59"/>
      <c r="O88" s="282"/>
      <c r="Q88" s="569"/>
      <c r="T88" s="51"/>
      <c r="W88" s="52"/>
      <c r="X88" s="52"/>
      <c r="Y88" s="52"/>
      <c r="AB88" s="45"/>
      <c r="AC88" s="45"/>
      <c r="AD88" s="45"/>
      <c r="AF88" s="279"/>
      <c r="AH88" s="277"/>
      <c r="AJ88" s="280"/>
    </row>
    <row r="89" spans="1:36" x14ac:dyDescent="0.35">
      <c r="I89" s="59"/>
      <c r="T89" s="51"/>
      <c r="W89" s="52"/>
      <c r="X89" s="52"/>
      <c r="Y89" s="52"/>
      <c r="AB89" s="45"/>
      <c r="AC89" s="45"/>
      <c r="AD89" s="45"/>
      <c r="AF89" s="279"/>
      <c r="AH89" s="277"/>
      <c r="AJ89" s="45"/>
    </row>
    <row r="90" spans="1:36" x14ac:dyDescent="0.35">
      <c r="B90" s="51"/>
      <c r="E90" s="52"/>
      <c r="F90" s="52"/>
      <c r="G90" s="52"/>
      <c r="I90" s="59"/>
      <c r="K90" s="51"/>
      <c r="M90" s="283"/>
      <c r="N90" s="52"/>
      <c r="T90" s="51"/>
      <c r="W90" s="52"/>
      <c r="X90" s="52"/>
      <c r="Y90" s="52"/>
      <c r="AC90" s="51"/>
      <c r="AD90" s="51"/>
      <c r="AG90" s="52"/>
      <c r="AH90" s="52"/>
      <c r="AI90" s="52"/>
    </row>
    <row r="91" spans="1:36" x14ac:dyDescent="0.35">
      <c r="A91" s="576"/>
      <c r="B91" s="576"/>
    </row>
    <row r="92" spans="1:36" x14ac:dyDescent="0.35">
      <c r="I92" s="20" t="s">
        <v>80</v>
      </c>
    </row>
    <row r="93" spans="1:36" x14ac:dyDescent="0.35">
      <c r="A93" s="169"/>
      <c r="B93" s="571"/>
      <c r="C93" s="571"/>
      <c r="D93" s="571"/>
      <c r="E93" s="571"/>
      <c r="F93" s="571"/>
      <c r="G93" s="571"/>
      <c r="H93" s="170"/>
      <c r="I93" s="30"/>
      <c r="J93" s="169"/>
      <c r="K93" s="571"/>
      <c r="L93" s="571"/>
      <c r="M93" s="571"/>
      <c r="N93" s="571"/>
      <c r="O93" s="571"/>
      <c r="P93" s="571"/>
      <c r="Q93" s="170"/>
      <c r="R93" s="30"/>
      <c r="S93" s="169"/>
      <c r="T93" s="571"/>
      <c r="U93" s="571"/>
      <c r="V93" s="571"/>
      <c r="W93" s="571"/>
      <c r="X93" s="571"/>
      <c r="Y93" s="571"/>
      <c r="Z93" s="170"/>
      <c r="AA93" s="30"/>
      <c r="AB93" s="169"/>
      <c r="AC93" s="571"/>
      <c r="AD93" s="571"/>
      <c r="AE93" s="571"/>
      <c r="AF93" s="571"/>
      <c r="AG93" s="571"/>
      <c r="AH93" s="571"/>
      <c r="AI93" s="571"/>
      <c r="AJ93" s="170"/>
    </row>
    <row r="94" spans="1:36" x14ac:dyDescent="0.35">
      <c r="A94" s="45"/>
      <c r="B94" s="59"/>
      <c r="D94" s="59"/>
      <c r="H94" s="569"/>
      <c r="J94" s="45"/>
      <c r="K94" s="59"/>
      <c r="M94" s="59"/>
      <c r="Q94" s="569"/>
      <c r="S94" s="45"/>
      <c r="T94" s="59"/>
      <c r="V94" s="59"/>
      <c r="Z94" s="569"/>
      <c r="AB94" s="45"/>
      <c r="AC94" s="59"/>
      <c r="AD94" s="59"/>
      <c r="AF94" s="277"/>
      <c r="AJ94" s="569"/>
    </row>
    <row r="95" spans="1:36" x14ac:dyDescent="0.35">
      <c r="A95" s="45"/>
      <c r="B95" s="59"/>
      <c r="D95" s="59"/>
      <c r="H95" s="569"/>
      <c r="J95" s="45"/>
      <c r="K95" s="59"/>
      <c r="M95" s="59"/>
      <c r="Q95" s="569"/>
      <c r="S95" s="45"/>
      <c r="T95" s="59"/>
      <c r="V95" s="59"/>
      <c r="Z95" s="569"/>
      <c r="AB95" s="45"/>
      <c r="AC95" s="59"/>
      <c r="AD95" s="59"/>
      <c r="AF95" s="277"/>
      <c r="AJ95" s="569"/>
    </row>
    <row r="96" spans="1:36" x14ac:dyDescent="0.35">
      <c r="A96" s="45"/>
      <c r="B96" s="59"/>
      <c r="D96" s="59"/>
      <c r="H96" s="569"/>
      <c r="J96" s="45"/>
      <c r="K96" s="59"/>
      <c r="M96" s="59"/>
      <c r="Q96" s="569"/>
      <c r="S96" s="45"/>
      <c r="T96" s="59"/>
      <c r="V96" s="59"/>
      <c r="Z96" s="569"/>
      <c r="AB96" s="45"/>
      <c r="AC96" s="59"/>
      <c r="AD96" s="59"/>
      <c r="AF96" s="277"/>
      <c r="AJ96" s="569"/>
    </row>
    <row r="97" spans="1:36" x14ac:dyDescent="0.35">
      <c r="A97" s="45"/>
      <c r="B97" s="59"/>
      <c r="D97" s="59"/>
      <c r="H97" s="569"/>
      <c r="J97" s="45"/>
      <c r="K97" s="59"/>
      <c r="M97" s="59"/>
      <c r="Q97" s="569"/>
      <c r="S97" s="45"/>
      <c r="T97" s="59"/>
      <c r="V97" s="59"/>
      <c r="Z97" s="569"/>
      <c r="AB97" s="45"/>
      <c r="AC97" s="59"/>
      <c r="AD97" s="59"/>
      <c r="AF97" s="277"/>
      <c r="AJ97" s="569"/>
    </row>
    <row r="98" spans="1:36" x14ac:dyDescent="0.35">
      <c r="A98" s="45"/>
      <c r="B98" s="59"/>
      <c r="D98" s="59"/>
      <c r="H98" s="569"/>
      <c r="J98" s="45"/>
      <c r="K98" s="59"/>
      <c r="M98" s="59"/>
      <c r="Q98" s="569"/>
      <c r="S98" s="45"/>
      <c r="T98" s="59"/>
      <c r="V98" s="59"/>
      <c r="Z98" s="569"/>
      <c r="AB98" s="45"/>
      <c r="AC98" s="59"/>
      <c r="AD98" s="59"/>
      <c r="AF98" s="277"/>
      <c r="AJ98" s="569"/>
    </row>
    <row r="99" spans="1:36" x14ac:dyDescent="0.35">
      <c r="A99" s="45"/>
      <c r="B99" s="59"/>
      <c r="D99" s="59"/>
      <c r="H99" s="569"/>
      <c r="J99" s="45"/>
      <c r="K99" s="59"/>
      <c r="M99" s="59"/>
      <c r="Q99" s="569"/>
      <c r="S99" s="45"/>
      <c r="T99" s="59"/>
      <c r="V99" s="59"/>
      <c r="Z99" s="569"/>
      <c r="AB99" s="45"/>
      <c r="AC99" s="59"/>
      <c r="AD99" s="59"/>
      <c r="AF99" s="277"/>
      <c r="AJ99" s="569"/>
    </row>
    <row r="100" spans="1:36" x14ac:dyDescent="0.35">
      <c r="A100" s="45"/>
      <c r="B100" s="59"/>
      <c r="D100" s="59"/>
      <c r="H100" s="569"/>
      <c r="J100" s="45"/>
      <c r="K100" s="59"/>
      <c r="M100" s="59"/>
      <c r="Q100" s="569"/>
      <c r="S100" s="45"/>
      <c r="T100" s="59"/>
      <c r="V100" s="59"/>
      <c r="Z100" s="569"/>
      <c r="AB100" s="45"/>
      <c r="AC100" s="59"/>
      <c r="AD100" s="59"/>
      <c r="AF100" s="277"/>
      <c r="AJ100" s="569"/>
    </row>
    <row r="102" spans="1:36" x14ac:dyDescent="0.35">
      <c r="B102" s="51"/>
      <c r="E102" s="52"/>
      <c r="F102" s="52"/>
      <c r="G102" s="52"/>
      <c r="K102" s="51"/>
      <c r="N102" s="52"/>
      <c r="O102" s="52"/>
      <c r="P102" s="52"/>
      <c r="T102" s="51"/>
      <c r="W102" s="52"/>
      <c r="X102" s="52"/>
      <c r="Y102" s="52"/>
      <c r="AC102" s="51"/>
      <c r="AD102" s="51"/>
      <c r="AG102" s="52"/>
      <c r="AH102" s="52"/>
      <c r="AI102" s="52"/>
    </row>
    <row r="103" spans="1:36" x14ac:dyDescent="0.35">
      <c r="B103" s="51"/>
      <c r="E103" s="52"/>
      <c r="F103" s="52"/>
      <c r="G103" s="52"/>
      <c r="K103" s="51"/>
      <c r="N103" s="52"/>
      <c r="O103" s="52"/>
      <c r="P103" s="52"/>
      <c r="T103" s="51"/>
      <c r="W103" s="52"/>
      <c r="X103" s="52"/>
      <c r="Y103" s="52"/>
      <c r="AC103" s="51"/>
      <c r="AD103" s="51"/>
      <c r="AG103" s="52"/>
      <c r="AH103" s="52"/>
      <c r="AI103" s="52"/>
    </row>
    <row r="105" spans="1:36" x14ac:dyDescent="0.35">
      <c r="A105" s="169"/>
      <c r="B105" s="571"/>
      <c r="C105" s="571"/>
      <c r="D105" s="571"/>
      <c r="E105" s="571"/>
      <c r="F105" s="571"/>
      <c r="G105" s="571"/>
      <c r="H105" s="170"/>
      <c r="I105" s="30"/>
      <c r="J105" s="169"/>
      <c r="K105" s="571"/>
      <c r="L105" s="571"/>
      <c r="M105" s="571"/>
      <c r="N105" s="571"/>
      <c r="O105" s="574"/>
      <c r="P105" s="574"/>
      <c r="Q105" s="170"/>
      <c r="R105" s="30"/>
      <c r="S105" s="169"/>
      <c r="T105" s="571"/>
      <c r="U105" s="571"/>
      <c r="V105" s="571"/>
      <c r="W105" s="571"/>
      <c r="X105" s="571"/>
      <c r="Y105" s="571"/>
      <c r="Z105" s="170"/>
      <c r="AA105" s="30"/>
      <c r="AB105" s="169"/>
      <c r="AC105" s="571"/>
      <c r="AD105" s="571"/>
      <c r="AE105" s="571"/>
      <c r="AF105" s="571"/>
      <c r="AG105" s="571"/>
      <c r="AH105" s="571"/>
      <c r="AI105" s="571"/>
      <c r="AJ105" s="170"/>
    </row>
    <row r="106" spans="1:36" x14ac:dyDescent="0.35">
      <c r="A106" s="45"/>
      <c r="B106" s="59"/>
      <c r="D106" s="59"/>
      <c r="H106" s="569"/>
      <c r="J106" s="45"/>
      <c r="K106" s="59"/>
      <c r="M106" s="59"/>
      <c r="O106" s="282"/>
      <c r="Q106" s="569"/>
      <c r="S106" s="45"/>
      <c r="T106" s="59"/>
      <c r="U106" s="278"/>
      <c r="V106" s="59"/>
      <c r="Z106" s="570"/>
      <c r="AB106" s="45"/>
      <c r="AC106" s="59"/>
      <c r="AD106" s="59"/>
      <c r="AE106" s="278"/>
      <c r="AF106" s="279"/>
      <c r="AH106" s="277"/>
      <c r="AJ106" s="280"/>
    </row>
    <row r="107" spans="1:36" x14ac:dyDescent="0.35">
      <c r="A107" s="45"/>
      <c r="B107" s="59"/>
      <c r="D107" s="59"/>
      <c r="H107" s="569"/>
      <c r="J107" s="45"/>
      <c r="K107" s="59"/>
      <c r="M107" s="59"/>
      <c r="O107" s="282"/>
      <c r="Q107" s="569"/>
      <c r="S107" s="45"/>
      <c r="T107" s="59"/>
      <c r="V107" s="59"/>
      <c r="Z107" s="570"/>
      <c r="AB107" s="45"/>
      <c r="AC107" s="59"/>
      <c r="AD107" s="59"/>
      <c r="AF107" s="279"/>
      <c r="AH107" s="277"/>
      <c r="AJ107" s="280"/>
    </row>
    <row r="108" spans="1:36" x14ac:dyDescent="0.35">
      <c r="A108" s="45"/>
      <c r="B108" s="59"/>
      <c r="D108" s="59"/>
      <c r="H108" s="569"/>
      <c r="J108" s="45"/>
      <c r="K108" s="59"/>
      <c r="M108" s="59"/>
      <c r="O108" s="282"/>
      <c r="Q108" s="569"/>
      <c r="S108" s="45"/>
      <c r="T108" s="59"/>
      <c r="V108" s="59"/>
      <c r="Z108" s="570"/>
      <c r="AB108" s="45"/>
      <c r="AC108" s="59"/>
      <c r="AD108" s="59"/>
      <c r="AF108" s="279"/>
      <c r="AH108" s="277"/>
      <c r="AJ108" s="280"/>
    </row>
    <row r="109" spans="1:36" x14ac:dyDescent="0.35">
      <c r="A109" s="45"/>
      <c r="B109" s="59"/>
      <c r="D109" s="59"/>
      <c r="H109" s="569"/>
      <c r="I109" s="59"/>
      <c r="J109" s="45"/>
      <c r="K109" s="59"/>
      <c r="M109" s="59"/>
      <c r="O109" s="282"/>
      <c r="Q109" s="569"/>
      <c r="S109" s="45"/>
      <c r="T109" s="59"/>
      <c r="V109" s="59"/>
      <c r="Z109" s="570"/>
      <c r="AB109" s="45"/>
      <c r="AC109" s="59"/>
      <c r="AD109" s="59"/>
      <c r="AF109" s="279"/>
      <c r="AH109" s="277"/>
      <c r="AJ109" s="280"/>
    </row>
    <row r="110" spans="1:36" x14ac:dyDescent="0.35">
      <c r="A110" s="45"/>
      <c r="B110" s="59"/>
      <c r="D110" s="59"/>
      <c r="H110" s="569"/>
      <c r="I110" s="59"/>
      <c r="J110" s="45"/>
      <c r="K110" s="59"/>
      <c r="M110" s="59"/>
      <c r="O110" s="282"/>
      <c r="Q110" s="569"/>
      <c r="S110" s="45"/>
      <c r="T110" s="59"/>
      <c r="V110" s="59"/>
      <c r="Z110" s="570"/>
      <c r="AB110" s="45"/>
      <c r="AC110" s="59"/>
      <c r="AD110" s="59"/>
      <c r="AF110" s="279"/>
      <c r="AH110" s="277"/>
      <c r="AJ110" s="280"/>
    </row>
    <row r="111" spans="1:36" x14ac:dyDescent="0.35">
      <c r="A111" s="45"/>
      <c r="B111" s="59"/>
      <c r="D111" s="59"/>
      <c r="H111" s="569"/>
      <c r="I111" s="59"/>
      <c r="J111" s="45"/>
      <c r="K111" s="59"/>
      <c r="M111" s="59"/>
      <c r="O111" s="282"/>
      <c r="Q111" s="569"/>
      <c r="AB111" s="45"/>
      <c r="AC111" s="45"/>
      <c r="AD111" s="45"/>
      <c r="AF111" s="279"/>
      <c r="AH111" s="277"/>
      <c r="AJ111" s="280"/>
    </row>
    <row r="112" spans="1:36" x14ac:dyDescent="0.35">
      <c r="A112" s="45"/>
      <c r="B112" s="59"/>
      <c r="D112" s="59"/>
      <c r="H112" s="569"/>
      <c r="I112" s="59"/>
      <c r="J112" s="45"/>
      <c r="K112" s="59"/>
      <c r="M112" s="59"/>
      <c r="O112" s="282"/>
      <c r="Q112" s="569"/>
      <c r="T112" s="51"/>
      <c r="V112" s="281"/>
      <c r="W112" s="52"/>
      <c r="X112" s="52"/>
      <c r="Y112" s="52"/>
      <c r="AB112" s="45"/>
      <c r="AC112" s="45"/>
      <c r="AD112" s="45"/>
      <c r="AF112" s="279"/>
      <c r="AH112" s="277"/>
      <c r="AJ112" s="280"/>
    </row>
    <row r="113" spans="1:36" x14ac:dyDescent="0.35">
      <c r="I113" s="59"/>
      <c r="T113" s="51"/>
      <c r="W113" s="52"/>
      <c r="X113" s="52"/>
      <c r="Y113" s="52"/>
      <c r="AB113" s="45"/>
      <c r="AC113" s="45"/>
      <c r="AD113" s="45"/>
      <c r="AF113" s="279"/>
      <c r="AH113" s="277"/>
      <c r="AJ113" s="45"/>
    </row>
    <row r="114" spans="1:36" x14ac:dyDescent="0.35">
      <c r="B114" s="51"/>
      <c r="E114" s="52"/>
      <c r="F114" s="52"/>
      <c r="G114" s="52"/>
      <c r="I114" s="59"/>
      <c r="K114" s="51"/>
      <c r="M114" s="283"/>
      <c r="N114" s="52"/>
      <c r="T114" s="51"/>
      <c r="W114" s="52"/>
      <c r="X114" s="52"/>
      <c r="Y114" s="52"/>
      <c r="AC114" s="51"/>
      <c r="AD114" s="51"/>
      <c r="AG114" s="52"/>
      <c r="AH114" s="52"/>
      <c r="AI114" s="52"/>
    </row>
    <row r="115" spans="1:36" x14ac:dyDescent="0.35">
      <c r="A115" s="576"/>
      <c r="B115" s="576"/>
      <c r="E115" s="52"/>
      <c r="F115" s="52"/>
      <c r="G115" s="52"/>
    </row>
    <row r="116" spans="1:36" x14ac:dyDescent="0.35">
      <c r="I116" s="20" t="s">
        <v>80</v>
      </c>
    </row>
    <row r="117" spans="1:36" ht="26.25" customHeight="1" x14ac:dyDescent="0.35">
      <c r="A117" s="169"/>
      <c r="B117" s="571"/>
      <c r="C117" s="571"/>
      <c r="D117" s="571"/>
      <c r="E117" s="571"/>
      <c r="F117" s="571"/>
      <c r="G117" s="571"/>
      <c r="H117" s="170"/>
      <c r="I117" s="30"/>
      <c r="J117" s="169"/>
      <c r="K117" s="571"/>
      <c r="L117" s="571"/>
      <c r="M117" s="571"/>
      <c r="N117" s="571"/>
      <c r="O117" s="571"/>
      <c r="P117" s="571"/>
      <c r="Q117" s="170"/>
      <c r="R117" s="30"/>
      <c r="S117" s="169"/>
      <c r="T117" s="571"/>
      <c r="U117" s="571"/>
      <c r="V117" s="571"/>
      <c r="W117" s="571"/>
      <c r="X117" s="571"/>
      <c r="Y117" s="571"/>
      <c r="Z117" s="170"/>
      <c r="AA117" s="30"/>
      <c r="AB117" s="169"/>
      <c r="AC117" s="571"/>
      <c r="AD117" s="571"/>
      <c r="AE117" s="571"/>
      <c r="AF117" s="571"/>
      <c r="AG117" s="571"/>
      <c r="AH117" s="571"/>
      <c r="AI117" s="571"/>
      <c r="AJ117" s="170"/>
    </row>
    <row r="118" spans="1:36" x14ac:dyDescent="0.35">
      <c r="A118" s="45"/>
      <c r="B118" s="59"/>
      <c r="D118" s="59"/>
      <c r="H118" s="569"/>
      <c r="J118" s="45"/>
      <c r="K118" s="59"/>
      <c r="M118" s="59"/>
      <c r="Q118" s="569"/>
      <c r="S118" s="45"/>
      <c r="T118" s="59"/>
      <c r="V118" s="59"/>
      <c r="Z118" s="569"/>
      <c r="AB118" s="45"/>
      <c r="AC118" s="59"/>
      <c r="AD118" s="59"/>
      <c r="AF118" s="277"/>
      <c r="AJ118" s="569"/>
    </row>
    <row r="119" spans="1:36" x14ac:dyDescent="0.35">
      <c r="A119" s="45"/>
      <c r="B119" s="59"/>
      <c r="D119" s="59"/>
      <c r="H119" s="569"/>
      <c r="J119" s="45"/>
      <c r="K119" s="59"/>
      <c r="M119" s="59"/>
      <c r="Q119" s="569"/>
      <c r="S119" s="45"/>
      <c r="T119" s="59"/>
      <c r="V119" s="59"/>
      <c r="Z119" s="569"/>
      <c r="AB119" s="45"/>
      <c r="AC119" s="59"/>
      <c r="AD119" s="59"/>
      <c r="AF119" s="277"/>
      <c r="AJ119" s="569"/>
    </row>
    <row r="120" spans="1:36" x14ac:dyDescent="0.35">
      <c r="A120" s="45"/>
      <c r="B120" s="59"/>
      <c r="D120" s="59"/>
      <c r="H120" s="569"/>
      <c r="J120" s="45"/>
      <c r="K120" s="59"/>
      <c r="M120" s="59"/>
      <c r="Q120" s="569"/>
      <c r="S120" s="45"/>
      <c r="T120" s="59"/>
      <c r="V120" s="59"/>
      <c r="Z120" s="569"/>
      <c r="AB120" s="45"/>
      <c r="AC120" s="59"/>
      <c r="AD120" s="59"/>
      <c r="AF120" s="277"/>
      <c r="AJ120" s="569"/>
    </row>
    <row r="121" spans="1:36" x14ac:dyDescent="0.35">
      <c r="A121" s="45"/>
      <c r="B121" s="59"/>
      <c r="D121" s="59"/>
      <c r="H121" s="569"/>
      <c r="J121" s="45"/>
      <c r="K121" s="59"/>
      <c r="M121" s="59"/>
      <c r="Q121" s="569"/>
      <c r="S121" s="45"/>
      <c r="T121" s="59"/>
      <c r="V121" s="59"/>
      <c r="Z121" s="569"/>
      <c r="AB121" s="45"/>
      <c r="AC121" s="59"/>
      <c r="AD121" s="59"/>
      <c r="AF121" s="277"/>
      <c r="AJ121" s="569"/>
    </row>
    <row r="122" spans="1:36" x14ac:dyDescent="0.35">
      <c r="A122" s="45"/>
      <c r="B122" s="59"/>
      <c r="D122" s="59"/>
      <c r="H122" s="569"/>
      <c r="J122" s="45"/>
      <c r="K122" s="59"/>
      <c r="M122" s="59"/>
      <c r="Q122" s="569"/>
      <c r="S122" s="45"/>
      <c r="T122" s="59"/>
      <c r="V122" s="59"/>
      <c r="Z122" s="569"/>
      <c r="AB122" s="45"/>
      <c r="AC122" s="59"/>
      <c r="AD122" s="59"/>
      <c r="AF122" s="277"/>
      <c r="AJ122" s="569"/>
    </row>
    <row r="123" spans="1:36" x14ac:dyDescent="0.35">
      <c r="A123" s="45"/>
      <c r="B123" s="59"/>
      <c r="D123" s="59"/>
      <c r="H123" s="569"/>
      <c r="J123" s="45"/>
      <c r="K123" s="59"/>
      <c r="M123" s="59"/>
      <c r="Q123" s="569"/>
      <c r="S123" s="45"/>
      <c r="T123" s="59"/>
      <c r="V123" s="59"/>
      <c r="Z123" s="569"/>
      <c r="AB123" s="45"/>
      <c r="AC123" s="59"/>
      <c r="AD123" s="59"/>
      <c r="AF123" s="277"/>
      <c r="AJ123" s="569"/>
    </row>
    <row r="124" spans="1:36" x14ac:dyDescent="0.35">
      <c r="A124" s="45"/>
      <c r="B124" s="59"/>
      <c r="D124" s="59"/>
      <c r="H124" s="569"/>
      <c r="J124" s="45"/>
      <c r="K124" s="59"/>
      <c r="M124" s="59"/>
      <c r="Q124" s="569"/>
      <c r="S124" s="45"/>
      <c r="T124" s="59"/>
      <c r="V124" s="59"/>
      <c r="Z124" s="569"/>
      <c r="AB124" s="45"/>
      <c r="AC124" s="59"/>
      <c r="AD124" s="59"/>
      <c r="AF124" s="277"/>
      <c r="AJ124" s="569"/>
    </row>
    <row r="126" spans="1:36" x14ac:dyDescent="0.35">
      <c r="B126" s="51"/>
      <c r="E126" s="52"/>
      <c r="F126" s="52"/>
      <c r="G126" s="52"/>
      <c r="K126" s="51"/>
      <c r="N126" s="52"/>
      <c r="O126" s="52"/>
      <c r="P126" s="52"/>
      <c r="T126" s="51"/>
      <c r="W126" s="52"/>
      <c r="X126" s="52"/>
      <c r="Y126" s="52"/>
      <c r="AC126" s="51"/>
      <c r="AD126" s="51"/>
      <c r="AG126" s="52"/>
      <c r="AH126" s="52"/>
      <c r="AI126" s="52"/>
    </row>
    <row r="127" spans="1:36" x14ac:dyDescent="0.35">
      <c r="B127" s="51"/>
      <c r="E127" s="52"/>
      <c r="F127" s="52"/>
      <c r="G127" s="52"/>
      <c r="K127" s="51"/>
      <c r="N127" s="52"/>
      <c r="O127" s="52"/>
      <c r="P127" s="52"/>
      <c r="T127" s="51"/>
      <c r="W127" s="52"/>
      <c r="X127" s="52"/>
      <c r="Y127" s="52"/>
      <c r="AC127" s="51"/>
      <c r="AD127" s="51"/>
      <c r="AG127" s="52"/>
      <c r="AH127" s="52"/>
      <c r="AI127" s="52"/>
    </row>
    <row r="129" spans="1:36" x14ac:dyDescent="0.35">
      <c r="A129" s="169"/>
      <c r="B129" s="571"/>
      <c r="C129" s="571"/>
      <c r="D129" s="571"/>
      <c r="E129" s="571"/>
      <c r="F129" s="571"/>
      <c r="G129" s="571"/>
      <c r="H129" s="170"/>
      <c r="I129" s="30"/>
      <c r="J129" s="169"/>
      <c r="K129" s="571"/>
      <c r="L129" s="571"/>
      <c r="M129" s="571"/>
      <c r="N129" s="571"/>
      <c r="O129" s="574"/>
      <c r="P129" s="574"/>
      <c r="Q129" s="170"/>
      <c r="R129" s="30"/>
      <c r="S129" s="169"/>
      <c r="T129" s="571"/>
      <c r="U129" s="571"/>
      <c r="V129" s="571"/>
      <c r="W129" s="571"/>
      <c r="X129" s="571"/>
      <c r="Y129" s="571"/>
      <c r="Z129" s="170"/>
      <c r="AA129" s="30"/>
      <c r="AB129" s="169"/>
      <c r="AC129" s="571"/>
      <c r="AD129" s="571"/>
      <c r="AE129" s="571"/>
      <c r="AF129" s="571"/>
      <c r="AG129" s="571"/>
      <c r="AH129" s="571"/>
      <c r="AI129" s="571"/>
      <c r="AJ129" s="170"/>
    </row>
    <row r="130" spans="1:36" x14ac:dyDescent="0.35">
      <c r="A130" s="45"/>
      <c r="B130" s="59"/>
      <c r="D130" s="59"/>
      <c r="H130" s="569"/>
      <c r="J130" s="45"/>
      <c r="K130" s="59"/>
      <c r="M130" s="59"/>
      <c r="O130" s="282"/>
      <c r="Q130" s="569"/>
      <c r="S130" s="45"/>
      <c r="T130" s="59"/>
      <c r="U130" s="278"/>
      <c r="V130" s="59"/>
      <c r="Z130" s="570"/>
      <c r="AB130" s="45"/>
      <c r="AC130" s="59"/>
      <c r="AD130" s="59"/>
      <c r="AE130" s="278"/>
      <c r="AF130" s="279"/>
      <c r="AH130" s="277"/>
      <c r="AJ130" s="280"/>
    </row>
    <row r="131" spans="1:36" ht="26.25" customHeight="1" x14ac:dyDescent="0.35">
      <c r="A131" s="45"/>
      <c r="B131" s="59"/>
      <c r="D131" s="59"/>
      <c r="H131" s="569"/>
      <c r="J131" s="45"/>
      <c r="K131" s="59"/>
      <c r="M131" s="59"/>
      <c r="O131" s="282"/>
      <c r="Q131" s="569"/>
      <c r="S131" s="45"/>
      <c r="T131" s="59"/>
      <c r="V131" s="59"/>
      <c r="Z131" s="570"/>
      <c r="AB131" s="45"/>
      <c r="AC131" s="59"/>
      <c r="AD131" s="59"/>
      <c r="AF131" s="279"/>
      <c r="AH131" s="277"/>
      <c r="AJ131" s="280"/>
    </row>
    <row r="132" spans="1:36" x14ac:dyDescent="0.35">
      <c r="A132" s="45"/>
      <c r="B132" s="59"/>
      <c r="D132" s="59"/>
      <c r="H132" s="569"/>
      <c r="J132" s="45"/>
      <c r="K132" s="59"/>
      <c r="M132" s="59"/>
      <c r="O132" s="282"/>
      <c r="Q132" s="569"/>
      <c r="S132" s="45"/>
      <c r="T132" s="59"/>
      <c r="V132" s="59"/>
      <c r="Z132" s="570"/>
      <c r="AB132" s="45"/>
      <c r="AC132" s="59"/>
      <c r="AD132" s="59"/>
      <c r="AF132" s="279"/>
      <c r="AH132" s="277"/>
      <c r="AJ132" s="280"/>
    </row>
    <row r="133" spans="1:36" x14ac:dyDescent="0.35">
      <c r="A133" s="45"/>
      <c r="B133" s="59"/>
      <c r="D133" s="59"/>
      <c r="H133" s="569"/>
      <c r="I133" s="59"/>
      <c r="J133" s="45"/>
      <c r="K133" s="59"/>
      <c r="M133" s="59"/>
      <c r="O133" s="282"/>
      <c r="Q133" s="569"/>
      <c r="S133" s="45"/>
      <c r="T133" s="59"/>
      <c r="V133" s="59"/>
      <c r="Z133" s="570"/>
      <c r="AB133" s="45"/>
      <c r="AC133" s="59"/>
      <c r="AD133" s="59"/>
      <c r="AF133" s="279"/>
      <c r="AH133" s="277"/>
      <c r="AJ133" s="280"/>
    </row>
    <row r="134" spans="1:36" x14ac:dyDescent="0.35">
      <c r="A134" s="45"/>
      <c r="B134" s="59"/>
      <c r="D134" s="59"/>
      <c r="H134" s="569"/>
      <c r="I134" s="59"/>
      <c r="J134" s="45"/>
      <c r="K134" s="59"/>
      <c r="M134" s="59"/>
      <c r="O134" s="282"/>
      <c r="Q134" s="569"/>
      <c r="S134" s="45"/>
      <c r="T134" s="59"/>
      <c r="V134" s="59"/>
      <c r="Z134" s="570"/>
      <c r="AB134" s="45"/>
      <c r="AC134" s="59"/>
      <c r="AD134" s="59"/>
      <c r="AF134" s="279"/>
      <c r="AH134" s="277"/>
      <c r="AJ134" s="280"/>
    </row>
    <row r="135" spans="1:36" x14ac:dyDescent="0.35">
      <c r="A135" s="45"/>
      <c r="B135" s="59"/>
      <c r="D135" s="59"/>
      <c r="H135" s="569"/>
      <c r="I135" s="59"/>
      <c r="J135" s="45"/>
      <c r="K135" s="59"/>
      <c r="M135" s="59"/>
      <c r="O135" s="282"/>
      <c r="Q135" s="569"/>
      <c r="AB135" s="45"/>
      <c r="AC135" s="45"/>
      <c r="AD135" s="45"/>
      <c r="AF135" s="279"/>
      <c r="AH135" s="277"/>
      <c r="AJ135" s="280"/>
    </row>
    <row r="136" spans="1:36" x14ac:dyDescent="0.35">
      <c r="A136" s="45"/>
      <c r="B136" s="59"/>
      <c r="D136" s="59"/>
      <c r="H136" s="569"/>
      <c r="I136" s="59"/>
      <c r="J136" s="45"/>
      <c r="K136" s="59"/>
      <c r="M136" s="59"/>
      <c r="O136" s="282"/>
      <c r="Q136" s="569"/>
      <c r="T136" s="51"/>
      <c r="W136" s="52"/>
      <c r="X136" s="52"/>
      <c r="Y136" s="52"/>
      <c r="AB136" s="45"/>
      <c r="AC136" s="45"/>
      <c r="AD136" s="45"/>
      <c r="AF136" s="279"/>
      <c r="AH136" s="277"/>
      <c r="AJ136" s="280"/>
    </row>
    <row r="137" spans="1:36" x14ac:dyDescent="0.35">
      <c r="I137" s="59"/>
      <c r="T137" s="51"/>
      <c r="W137" s="52"/>
      <c r="X137" s="52"/>
      <c r="Y137" s="52"/>
      <c r="AB137" s="45"/>
      <c r="AC137" s="45"/>
      <c r="AD137" s="45"/>
      <c r="AF137" s="279"/>
      <c r="AH137" s="277"/>
      <c r="AJ137" s="45"/>
    </row>
    <row r="138" spans="1:36" x14ac:dyDescent="0.35">
      <c r="B138" s="51"/>
      <c r="E138" s="52"/>
      <c r="F138" s="52"/>
      <c r="G138" s="52"/>
      <c r="I138" s="59"/>
      <c r="K138" s="51"/>
      <c r="M138" s="283"/>
      <c r="N138" s="52"/>
      <c r="T138" s="51"/>
      <c r="W138" s="52"/>
      <c r="X138" s="52"/>
      <c r="Y138" s="52"/>
      <c r="AC138" s="51"/>
      <c r="AD138" s="51"/>
      <c r="AG138" s="52"/>
      <c r="AH138" s="52"/>
      <c r="AI138" s="52"/>
    </row>
    <row r="139" spans="1:36" x14ac:dyDescent="0.35">
      <c r="A139" s="576"/>
      <c r="B139" s="576"/>
    </row>
    <row r="140" spans="1:36" x14ac:dyDescent="0.35">
      <c r="I140" s="20" t="s">
        <v>80</v>
      </c>
    </row>
    <row r="141" spans="1:36" x14ac:dyDescent="0.35">
      <c r="A141" s="169"/>
      <c r="B141" s="571"/>
      <c r="C141" s="571"/>
      <c r="D141" s="571"/>
      <c r="E141" s="571"/>
      <c r="F141" s="571"/>
      <c r="G141" s="571"/>
      <c r="H141" s="170"/>
      <c r="I141" s="30"/>
      <c r="J141" s="169"/>
      <c r="K141" s="571"/>
      <c r="L141" s="571"/>
      <c r="M141" s="571"/>
      <c r="N141" s="571"/>
      <c r="O141" s="571"/>
      <c r="P141" s="571"/>
      <c r="Q141" s="170"/>
      <c r="R141" s="30"/>
      <c r="S141" s="169"/>
      <c r="T141" s="571"/>
      <c r="U141" s="571"/>
      <c r="V141" s="571"/>
      <c r="W141" s="571"/>
      <c r="X141" s="571"/>
      <c r="Y141" s="571"/>
      <c r="Z141" s="170"/>
      <c r="AA141" s="30"/>
      <c r="AB141" s="169"/>
      <c r="AC141" s="571"/>
      <c r="AD141" s="571"/>
      <c r="AE141" s="571"/>
      <c r="AF141" s="571"/>
      <c r="AG141" s="571"/>
      <c r="AH141" s="571"/>
      <c r="AI141" s="571"/>
      <c r="AJ141" s="170"/>
    </row>
    <row r="142" spans="1:36" x14ac:dyDescent="0.35">
      <c r="A142" s="45"/>
      <c r="B142" s="59"/>
      <c r="D142" s="59"/>
      <c r="H142" s="569"/>
      <c r="J142" s="45"/>
      <c r="K142" s="59"/>
      <c r="M142" s="59"/>
      <c r="Q142" s="569"/>
      <c r="S142" s="45"/>
      <c r="T142" s="59"/>
      <c r="V142" s="59"/>
      <c r="Z142" s="569"/>
      <c r="AB142" s="45"/>
      <c r="AC142" s="59"/>
      <c r="AD142" s="59"/>
      <c r="AF142" s="277"/>
      <c r="AJ142" s="569"/>
    </row>
    <row r="143" spans="1:36" x14ac:dyDescent="0.35">
      <c r="A143" s="45"/>
      <c r="B143" s="59"/>
      <c r="D143" s="59"/>
      <c r="H143" s="569"/>
      <c r="J143" s="45"/>
      <c r="K143" s="59"/>
      <c r="M143" s="59"/>
      <c r="Q143" s="569"/>
      <c r="S143" s="45"/>
      <c r="T143" s="59"/>
      <c r="V143" s="59"/>
      <c r="Z143" s="569"/>
      <c r="AB143" s="45"/>
      <c r="AC143" s="59"/>
      <c r="AD143" s="59"/>
      <c r="AF143" s="277"/>
      <c r="AJ143" s="569"/>
    </row>
    <row r="144" spans="1:36" x14ac:dyDescent="0.35">
      <c r="A144" s="45"/>
      <c r="B144" s="59"/>
      <c r="D144" s="59"/>
      <c r="H144" s="569"/>
      <c r="J144" s="45"/>
      <c r="K144" s="59"/>
      <c r="M144" s="59"/>
      <c r="Q144" s="569"/>
      <c r="S144" s="45"/>
      <c r="T144" s="59"/>
      <c r="V144" s="59"/>
      <c r="Z144" s="569"/>
      <c r="AB144" s="45"/>
      <c r="AC144" s="59"/>
      <c r="AD144" s="59"/>
      <c r="AF144" s="277"/>
      <c r="AJ144" s="569"/>
    </row>
    <row r="145" spans="1:36" x14ac:dyDescent="0.35">
      <c r="A145" s="45"/>
      <c r="B145" s="59"/>
      <c r="D145" s="59"/>
      <c r="H145" s="569"/>
      <c r="J145" s="45"/>
      <c r="K145" s="59"/>
      <c r="M145" s="59"/>
      <c r="Q145" s="569"/>
      <c r="S145" s="45"/>
      <c r="T145" s="59"/>
      <c r="V145" s="59"/>
      <c r="Z145" s="569"/>
      <c r="AB145" s="45"/>
      <c r="AC145" s="59"/>
      <c r="AD145" s="59"/>
      <c r="AF145" s="277"/>
      <c r="AJ145" s="569"/>
    </row>
    <row r="146" spans="1:36" x14ac:dyDescent="0.35">
      <c r="A146" s="45"/>
      <c r="B146" s="59"/>
      <c r="D146" s="59"/>
      <c r="H146" s="569"/>
      <c r="J146" s="45"/>
      <c r="K146" s="59"/>
      <c r="M146" s="59"/>
      <c r="Q146" s="569"/>
      <c r="S146" s="45"/>
      <c r="T146" s="59"/>
      <c r="V146" s="59"/>
      <c r="Z146" s="569"/>
      <c r="AB146" s="45"/>
      <c r="AC146" s="59"/>
      <c r="AD146" s="59"/>
      <c r="AF146" s="277"/>
      <c r="AJ146" s="569"/>
    </row>
    <row r="147" spans="1:36" x14ac:dyDescent="0.35">
      <c r="A147" s="45"/>
      <c r="B147" s="59"/>
      <c r="D147" s="59"/>
      <c r="H147" s="569"/>
      <c r="J147" s="45"/>
      <c r="K147" s="59"/>
      <c r="M147" s="59"/>
      <c r="Q147" s="569"/>
      <c r="S147" s="45"/>
      <c r="T147" s="59"/>
      <c r="V147" s="59"/>
      <c r="Z147" s="569"/>
      <c r="AB147" s="45"/>
      <c r="AC147" s="59"/>
      <c r="AD147" s="59"/>
      <c r="AF147" s="277"/>
      <c r="AJ147" s="569"/>
    </row>
    <row r="148" spans="1:36" x14ac:dyDescent="0.35">
      <c r="A148" s="45"/>
      <c r="B148" s="59"/>
      <c r="D148" s="59"/>
      <c r="H148" s="569"/>
      <c r="J148" s="45"/>
      <c r="K148" s="59"/>
      <c r="M148" s="59"/>
      <c r="Q148" s="569"/>
      <c r="S148" s="45"/>
      <c r="T148" s="59"/>
      <c r="V148" s="59"/>
      <c r="Z148" s="569"/>
      <c r="AB148" s="45"/>
      <c r="AC148" s="59"/>
      <c r="AD148" s="59"/>
      <c r="AF148" s="277"/>
      <c r="AJ148" s="569"/>
    </row>
    <row r="150" spans="1:36" x14ac:dyDescent="0.35">
      <c r="B150" s="51"/>
      <c r="E150" s="52"/>
      <c r="F150" s="52"/>
      <c r="G150" s="52"/>
      <c r="K150" s="51"/>
      <c r="N150" s="52"/>
      <c r="O150" s="52"/>
      <c r="P150" s="52"/>
      <c r="T150" s="51"/>
      <c r="W150" s="52"/>
      <c r="X150" s="52"/>
      <c r="Y150" s="52"/>
      <c r="AC150" s="51"/>
      <c r="AD150" s="51"/>
      <c r="AG150" s="52"/>
      <c r="AH150" s="52"/>
      <c r="AI150" s="52"/>
    </row>
    <row r="151" spans="1:36" x14ac:dyDescent="0.35">
      <c r="B151" s="51"/>
      <c r="E151" s="52"/>
      <c r="F151" s="52"/>
      <c r="G151" s="52"/>
      <c r="K151" s="51"/>
      <c r="N151" s="52"/>
      <c r="O151" s="52"/>
      <c r="P151" s="52"/>
      <c r="T151" s="51"/>
      <c r="W151" s="52"/>
      <c r="X151" s="52"/>
      <c r="Y151" s="52"/>
      <c r="AC151" s="51"/>
      <c r="AD151" s="51"/>
      <c r="AG151" s="52"/>
      <c r="AH151" s="52"/>
      <c r="AI151" s="52"/>
    </row>
    <row r="153" spans="1:36" x14ac:dyDescent="0.35">
      <c r="A153" s="169"/>
      <c r="B153" s="571"/>
      <c r="C153" s="571"/>
      <c r="D153" s="571"/>
      <c r="E153" s="571"/>
      <c r="F153" s="571"/>
      <c r="G153" s="571"/>
      <c r="H153" s="170"/>
      <c r="I153" s="30"/>
      <c r="J153" s="169"/>
      <c r="K153" s="571"/>
      <c r="L153" s="571"/>
      <c r="M153" s="571"/>
      <c r="N153" s="571"/>
      <c r="O153" s="574"/>
      <c r="P153" s="574"/>
      <c r="Q153" s="170"/>
      <c r="R153" s="30"/>
      <c r="S153" s="169"/>
      <c r="T153" s="571"/>
      <c r="U153" s="571"/>
      <c r="V153" s="571"/>
      <c r="W153" s="571"/>
      <c r="X153" s="571"/>
      <c r="Y153" s="571"/>
      <c r="Z153" s="170"/>
      <c r="AA153" s="30"/>
      <c r="AB153" s="169"/>
      <c r="AC153" s="571"/>
      <c r="AD153" s="571"/>
      <c r="AE153" s="571"/>
      <c r="AF153" s="571"/>
      <c r="AG153" s="571"/>
      <c r="AH153" s="571"/>
      <c r="AI153" s="571"/>
      <c r="AJ153" s="170"/>
    </row>
    <row r="154" spans="1:36" x14ac:dyDescent="0.35">
      <c r="A154" s="45"/>
      <c r="B154" s="59"/>
      <c r="D154" s="59"/>
      <c r="H154" s="569"/>
      <c r="J154" s="45"/>
      <c r="K154" s="59"/>
      <c r="M154" s="59"/>
      <c r="O154" s="282"/>
      <c r="Q154" s="569"/>
      <c r="S154" s="45"/>
      <c r="T154" s="59"/>
      <c r="U154" s="278"/>
      <c r="V154" s="59"/>
      <c r="Z154" s="570"/>
      <c r="AB154" s="45"/>
      <c r="AC154" s="59"/>
      <c r="AD154" s="59"/>
      <c r="AE154" s="278"/>
      <c r="AF154" s="279"/>
      <c r="AH154" s="277"/>
      <c r="AJ154" s="280"/>
    </row>
    <row r="155" spans="1:36" x14ac:dyDescent="0.35">
      <c r="A155" s="45"/>
      <c r="B155" s="59"/>
      <c r="D155" s="59"/>
      <c r="H155" s="569"/>
      <c r="J155" s="45"/>
      <c r="K155" s="59"/>
      <c r="M155" s="59"/>
      <c r="O155" s="282"/>
      <c r="Q155" s="569"/>
      <c r="S155" s="45"/>
      <c r="T155" s="59"/>
      <c r="V155" s="59"/>
      <c r="Z155" s="570"/>
      <c r="AB155" s="45"/>
      <c r="AC155" s="59"/>
      <c r="AD155" s="59"/>
      <c r="AF155" s="279"/>
      <c r="AH155" s="277"/>
      <c r="AJ155" s="280"/>
    </row>
    <row r="156" spans="1:36" x14ac:dyDescent="0.35">
      <c r="A156" s="45"/>
      <c r="B156" s="59"/>
      <c r="D156" s="59"/>
      <c r="H156" s="569"/>
      <c r="J156" s="45"/>
      <c r="K156" s="59"/>
      <c r="M156" s="59"/>
      <c r="O156" s="282"/>
      <c r="Q156" s="569"/>
      <c r="S156" s="45"/>
      <c r="T156" s="59"/>
      <c r="V156" s="59"/>
      <c r="Z156" s="570"/>
      <c r="AB156" s="45"/>
      <c r="AC156" s="59"/>
      <c r="AD156" s="59"/>
      <c r="AF156" s="279"/>
      <c r="AH156" s="277"/>
      <c r="AJ156" s="280"/>
    </row>
    <row r="157" spans="1:36" x14ac:dyDescent="0.35">
      <c r="A157" s="45"/>
      <c r="B157" s="59"/>
      <c r="D157" s="59"/>
      <c r="H157" s="569"/>
      <c r="I157" s="59"/>
      <c r="J157" s="45"/>
      <c r="K157" s="59"/>
      <c r="M157" s="59"/>
      <c r="O157" s="282"/>
      <c r="Q157" s="569"/>
      <c r="S157" s="45"/>
      <c r="T157" s="59"/>
      <c r="V157" s="59"/>
      <c r="Z157" s="570"/>
      <c r="AB157" s="45"/>
      <c r="AC157" s="59"/>
      <c r="AD157" s="59"/>
      <c r="AF157" s="279"/>
      <c r="AH157" s="277"/>
      <c r="AJ157" s="280"/>
    </row>
    <row r="158" spans="1:36" x14ac:dyDescent="0.35">
      <c r="A158" s="45"/>
      <c r="B158" s="59"/>
      <c r="D158" s="59"/>
      <c r="H158" s="569"/>
      <c r="I158" s="59"/>
      <c r="J158" s="45"/>
      <c r="K158" s="59"/>
      <c r="M158" s="59"/>
      <c r="O158" s="282"/>
      <c r="Q158" s="569"/>
      <c r="S158" s="45"/>
      <c r="T158" s="59"/>
      <c r="V158" s="59"/>
      <c r="Z158" s="570"/>
      <c r="AB158" s="45"/>
      <c r="AC158" s="59"/>
      <c r="AD158" s="59"/>
      <c r="AF158" s="279"/>
      <c r="AH158" s="277"/>
      <c r="AJ158" s="280"/>
    </row>
    <row r="159" spans="1:36" x14ac:dyDescent="0.35">
      <c r="A159" s="45"/>
      <c r="B159" s="59"/>
      <c r="D159" s="59"/>
      <c r="H159" s="569"/>
      <c r="I159" s="59"/>
      <c r="J159" s="45"/>
      <c r="K159" s="59"/>
      <c r="M159" s="59"/>
      <c r="O159" s="282"/>
      <c r="Q159" s="569"/>
      <c r="AB159" s="45"/>
      <c r="AC159" s="45"/>
      <c r="AD159" s="45"/>
      <c r="AF159" s="279"/>
      <c r="AH159" s="277"/>
      <c r="AJ159" s="280"/>
    </row>
    <row r="160" spans="1:36" x14ac:dyDescent="0.35">
      <c r="A160" s="45"/>
      <c r="B160" s="59"/>
      <c r="D160" s="59"/>
      <c r="H160" s="569"/>
      <c r="I160" s="59"/>
      <c r="J160" s="45"/>
      <c r="K160" s="59"/>
      <c r="M160" s="59"/>
      <c r="O160" s="282"/>
      <c r="Q160" s="569"/>
      <c r="T160" s="51"/>
      <c r="W160" s="52"/>
      <c r="X160" s="52"/>
      <c r="Y160" s="52"/>
      <c r="AB160" s="45"/>
      <c r="AC160" s="45"/>
      <c r="AD160" s="45"/>
      <c r="AF160" s="279"/>
      <c r="AH160" s="277"/>
      <c r="AJ160" s="280"/>
    </row>
    <row r="161" spans="1:36" x14ac:dyDescent="0.35">
      <c r="I161" s="59"/>
      <c r="T161" s="51"/>
      <c r="W161" s="52"/>
      <c r="X161" s="52"/>
      <c r="Y161" s="52"/>
      <c r="AB161" s="45"/>
      <c r="AC161" s="45"/>
      <c r="AD161" s="45"/>
      <c r="AF161" s="279"/>
      <c r="AH161" s="277"/>
      <c r="AJ161" s="45"/>
    </row>
    <row r="162" spans="1:36" x14ac:dyDescent="0.35">
      <c r="B162" s="51"/>
      <c r="E162" s="52"/>
      <c r="F162" s="52"/>
      <c r="G162" s="52"/>
      <c r="I162" s="59"/>
      <c r="K162" s="51"/>
      <c r="M162" s="283"/>
      <c r="N162" s="52"/>
      <c r="T162" s="51"/>
      <c r="W162" s="52"/>
      <c r="X162" s="52"/>
      <c r="Y162" s="52"/>
      <c r="AC162" s="51"/>
      <c r="AD162" s="51"/>
      <c r="AG162" s="52"/>
      <c r="AH162" s="52"/>
      <c r="AI162" s="52"/>
    </row>
    <row r="163" spans="1:36" x14ac:dyDescent="0.35">
      <c r="A163" s="576"/>
      <c r="B163" s="576"/>
    </row>
    <row r="164" spans="1:36" x14ac:dyDescent="0.35">
      <c r="I164" s="20" t="s">
        <v>80</v>
      </c>
    </row>
    <row r="165" spans="1:36" x14ac:dyDescent="0.35">
      <c r="A165" s="169"/>
      <c r="B165" s="571"/>
      <c r="C165" s="571"/>
      <c r="D165" s="571"/>
      <c r="E165" s="571"/>
      <c r="F165" s="571"/>
      <c r="G165" s="571"/>
      <c r="H165" s="170"/>
      <c r="I165" s="30"/>
      <c r="J165" s="169"/>
      <c r="K165" s="571"/>
      <c r="L165" s="571"/>
      <c r="M165" s="571"/>
      <c r="N165" s="571"/>
      <c r="O165" s="571"/>
      <c r="P165" s="571"/>
      <c r="Q165" s="170"/>
      <c r="R165" s="30"/>
      <c r="S165" s="169"/>
      <c r="T165" s="571"/>
      <c r="U165" s="571"/>
      <c r="V165" s="571"/>
      <c r="W165" s="571"/>
      <c r="X165" s="571"/>
      <c r="Y165" s="571"/>
      <c r="Z165" s="170"/>
      <c r="AA165" s="30"/>
      <c r="AB165" s="169"/>
      <c r="AC165" s="571"/>
      <c r="AD165" s="571"/>
      <c r="AE165" s="571"/>
      <c r="AF165" s="571"/>
      <c r="AG165" s="571"/>
      <c r="AH165" s="571"/>
      <c r="AI165" s="571"/>
      <c r="AJ165" s="170"/>
    </row>
    <row r="166" spans="1:36" x14ac:dyDescent="0.35">
      <c r="A166" s="45"/>
      <c r="B166" s="59"/>
      <c r="D166" s="59"/>
      <c r="H166" s="569"/>
      <c r="J166" s="45"/>
      <c r="K166" s="59"/>
      <c r="M166" s="59"/>
      <c r="Q166" s="569"/>
      <c r="S166" s="45"/>
      <c r="T166" s="59"/>
      <c r="V166" s="59"/>
      <c r="Z166" s="569"/>
      <c r="AB166" s="45"/>
      <c r="AC166" s="59"/>
      <c r="AD166" s="59"/>
      <c r="AF166" s="277"/>
      <c r="AJ166" s="569"/>
    </row>
    <row r="167" spans="1:36" x14ac:dyDescent="0.35">
      <c r="A167" s="45"/>
      <c r="B167" s="59"/>
      <c r="D167" s="59"/>
      <c r="H167" s="569"/>
      <c r="J167" s="45"/>
      <c r="K167" s="59"/>
      <c r="M167" s="59"/>
      <c r="Q167" s="569"/>
      <c r="S167" s="45"/>
      <c r="T167" s="59"/>
      <c r="V167" s="59"/>
      <c r="Z167" s="569"/>
      <c r="AB167" s="45"/>
      <c r="AC167" s="59"/>
      <c r="AD167" s="59"/>
      <c r="AF167" s="277"/>
      <c r="AJ167" s="569"/>
    </row>
    <row r="168" spans="1:36" x14ac:dyDescent="0.35">
      <c r="A168" s="45"/>
      <c r="B168" s="59"/>
      <c r="D168" s="59"/>
      <c r="H168" s="569"/>
      <c r="J168" s="45"/>
      <c r="K168" s="59"/>
      <c r="M168" s="59"/>
      <c r="Q168" s="569"/>
      <c r="S168" s="45"/>
      <c r="T168" s="59"/>
      <c r="V168" s="59"/>
      <c r="Z168" s="569"/>
      <c r="AB168" s="45"/>
      <c r="AC168" s="59"/>
      <c r="AD168" s="59"/>
      <c r="AF168" s="277"/>
      <c r="AJ168" s="569"/>
    </row>
    <row r="169" spans="1:36" x14ac:dyDescent="0.35">
      <c r="A169" s="45"/>
      <c r="B169" s="59"/>
      <c r="D169" s="59"/>
      <c r="H169" s="569"/>
      <c r="J169" s="45"/>
      <c r="K169" s="59"/>
      <c r="M169" s="59"/>
      <c r="Q169" s="569"/>
      <c r="S169" s="45"/>
      <c r="T169" s="59"/>
      <c r="V169" s="59"/>
      <c r="Z169" s="569"/>
      <c r="AB169" s="45"/>
      <c r="AC169" s="59"/>
      <c r="AD169" s="59"/>
      <c r="AF169" s="277"/>
      <c r="AJ169" s="569"/>
    </row>
    <row r="170" spans="1:36" x14ac:dyDescent="0.35">
      <c r="A170" s="45"/>
      <c r="B170" s="59"/>
      <c r="D170" s="59"/>
      <c r="H170" s="569"/>
      <c r="J170" s="45"/>
      <c r="K170" s="59"/>
      <c r="M170" s="59"/>
      <c r="Q170" s="569"/>
      <c r="S170" s="45"/>
      <c r="T170" s="59"/>
      <c r="V170" s="59"/>
      <c r="Z170" s="569"/>
      <c r="AB170" s="45"/>
      <c r="AC170" s="59"/>
      <c r="AD170" s="59"/>
      <c r="AF170" s="277"/>
      <c r="AJ170" s="569"/>
    </row>
    <row r="171" spans="1:36" x14ac:dyDescent="0.35">
      <c r="A171" s="45"/>
      <c r="B171" s="59"/>
      <c r="D171" s="59"/>
      <c r="H171" s="569"/>
      <c r="J171" s="45"/>
      <c r="K171" s="59"/>
      <c r="M171" s="59"/>
      <c r="Q171" s="569"/>
      <c r="S171" s="45"/>
      <c r="T171" s="59"/>
      <c r="V171" s="59"/>
      <c r="Z171" s="569"/>
      <c r="AB171" s="45"/>
      <c r="AC171" s="59"/>
      <c r="AD171" s="59"/>
      <c r="AF171" s="277"/>
      <c r="AJ171" s="569"/>
    </row>
    <row r="172" spans="1:36" x14ac:dyDescent="0.35">
      <c r="A172" s="45"/>
      <c r="B172" s="59"/>
      <c r="D172" s="59"/>
      <c r="H172" s="569"/>
      <c r="J172" s="45"/>
      <c r="K172" s="59"/>
      <c r="M172" s="59"/>
      <c r="Q172" s="569"/>
      <c r="S172" s="45"/>
      <c r="T172" s="59"/>
      <c r="V172" s="59"/>
      <c r="Z172" s="569"/>
      <c r="AB172" s="45"/>
      <c r="AC172" s="59"/>
      <c r="AD172" s="59"/>
      <c r="AF172" s="277"/>
      <c r="AJ172" s="569"/>
    </row>
    <row r="174" spans="1:36" x14ac:dyDescent="0.35">
      <c r="B174" s="51"/>
      <c r="E174" s="52"/>
      <c r="F174" s="52"/>
      <c r="G174" s="52"/>
      <c r="K174" s="51"/>
      <c r="N174" s="52"/>
      <c r="O174" s="52"/>
      <c r="P174" s="52"/>
      <c r="T174" s="51"/>
      <c r="W174" s="52"/>
      <c r="X174" s="52"/>
      <c r="Y174" s="52"/>
      <c r="AC174" s="51"/>
      <c r="AD174" s="51"/>
      <c r="AG174" s="52"/>
      <c r="AH174" s="52"/>
      <c r="AI174" s="52"/>
    </row>
    <row r="175" spans="1:36" x14ac:dyDescent="0.35">
      <c r="B175" s="51"/>
      <c r="E175" s="52"/>
      <c r="F175" s="52"/>
      <c r="G175" s="52"/>
      <c r="K175" s="51"/>
      <c r="N175" s="52"/>
      <c r="O175" s="52"/>
      <c r="P175" s="52"/>
      <c r="T175" s="51"/>
      <c r="W175" s="52"/>
      <c r="X175" s="52"/>
      <c r="Y175" s="52"/>
      <c r="AC175" s="51"/>
      <c r="AD175" s="51"/>
      <c r="AG175" s="52"/>
      <c r="AH175" s="52"/>
      <c r="AI175" s="52"/>
    </row>
    <row r="177" spans="1:36" x14ac:dyDescent="0.35">
      <c r="A177" s="169"/>
      <c r="B177" s="571"/>
      <c r="C177" s="571"/>
      <c r="D177" s="571"/>
      <c r="E177" s="571"/>
      <c r="F177" s="571"/>
      <c r="G177" s="571"/>
      <c r="H177" s="170"/>
      <c r="I177" s="30"/>
      <c r="J177" s="169"/>
      <c r="K177" s="571"/>
      <c r="L177" s="571"/>
      <c r="M177" s="571"/>
      <c r="N177" s="571"/>
      <c r="O177" s="574"/>
      <c r="P177" s="574"/>
      <c r="Q177" s="170"/>
      <c r="R177" s="30"/>
      <c r="S177" s="169"/>
      <c r="T177" s="571"/>
      <c r="U177" s="571"/>
      <c r="V177" s="571"/>
      <c r="W177" s="571"/>
      <c r="X177" s="571"/>
      <c r="Y177" s="571"/>
      <c r="Z177" s="170"/>
      <c r="AA177" s="30"/>
      <c r="AB177" s="169"/>
      <c r="AC177" s="571"/>
      <c r="AD177" s="571"/>
      <c r="AE177" s="571"/>
      <c r="AF177" s="571"/>
      <c r="AG177" s="571"/>
      <c r="AH177" s="571"/>
      <c r="AI177" s="571"/>
      <c r="AJ177" s="170"/>
    </row>
    <row r="178" spans="1:36" x14ac:dyDescent="0.35">
      <c r="A178" s="45"/>
      <c r="B178" s="59"/>
      <c r="D178" s="59"/>
      <c r="H178" s="569"/>
      <c r="J178" s="45"/>
      <c r="K178" s="59"/>
      <c r="M178" s="59"/>
      <c r="O178" s="282"/>
      <c r="Q178" s="569"/>
      <c r="S178" s="45"/>
      <c r="T178" s="59"/>
      <c r="U178" s="278"/>
      <c r="V178" s="59"/>
      <c r="Z178" s="570"/>
      <c r="AB178" s="45"/>
      <c r="AC178" s="59"/>
      <c r="AD178" s="59"/>
      <c r="AE178" s="278"/>
      <c r="AF178" s="279"/>
      <c r="AH178" s="277"/>
      <c r="AJ178" s="280"/>
    </row>
    <row r="179" spans="1:36" x14ac:dyDescent="0.35">
      <c r="A179" s="45"/>
      <c r="B179" s="59"/>
      <c r="D179" s="59"/>
      <c r="H179" s="569"/>
      <c r="J179" s="45"/>
      <c r="K179" s="59"/>
      <c r="M179" s="59"/>
      <c r="O179" s="282"/>
      <c r="Q179" s="569"/>
      <c r="S179" s="45"/>
      <c r="T179" s="59"/>
      <c r="V179" s="59"/>
      <c r="Z179" s="570"/>
      <c r="AB179" s="45"/>
      <c r="AC179" s="59"/>
      <c r="AD179" s="59"/>
      <c r="AF179" s="279"/>
      <c r="AH179" s="277"/>
      <c r="AJ179" s="280"/>
    </row>
    <row r="180" spans="1:36" x14ac:dyDescent="0.35">
      <c r="A180" s="45"/>
      <c r="B180" s="59"/>
      <c r="D180" s="59"/>
      <c r="H180" s="569"/>
      <c r="J180" s="45"/>
      <c r="K180" s="59"/>
      <c r="M180" s="59"/>
      <c r="O180" s="282"/>
      <c r="Q180" s="569"/>
      <c r="S180" s="45"/>
      <c r="T180" s="59"/>
      <c r="V180" s="59"/>
      <c r="Z180" s="570"/>
      <c r="AB180" s="45"/>
      <c r="AC180" s="59"/>
      <c r="AD180" s="59"/>
      <c r="AF180" s="279"/>
      <c r="AH180" s="277"/>
      <c r="AJ180" s="280"/>
    </row>
    <row r="181" spans="1:36" x14ac:dyDescent="0.35">
      <c r="A181" s="45"/>
      <c r="B181" s="59"/>
      <c r="D181" s="59"/>
      <c r="H181" s="569"/>
      <c r="I181" s="59"/>
      <c r="J181" s="45"/>
      <c r="K181" s="59"/>
      <c r="M181" s="59"/>
      <c r="O181" s="282"/>
      <c r="Q181" s="569"/>
      <c r="S181" s="45"/>
      <c r="T181" s="59"/>
      <c r="V181" s="59"/>
      <c r="Z181" s="570"/>
      <c r="AB181" s="45"/>
      <c r="AC181" s="59"/>
      <c r="AD181" s="59"/>
      <c r="AF181" s="279"/>
      <c r="AH181" s="277"/>
      <c r="AJ181" s="280"/>
    </row>
    <row r="182" spans="1:36" x14ac:dyDescent="0.35">
      <c r="A182" s="45"/>
      <c r="B182" s="59"/>
      <c r="D182" s="59"/>
      <c r="H182" s="569"/>
      <c r="I182" s="59"/>
      <c r="J182" s="45"/>
      <c r="K182" s="59"/>
      <c r="M182" s="59"/>
      <c r="O182" s="282"/>
      <c r="Q182" s="569"/>
      <c r="S182" s="45"/>
      <c r="T182" s="59"/>
      <c r="V182" s="59"/>
      <c r="Z182" s="570"/>
      <c r="AB182" s="45"/>
      <c r="AC182" s="59"/>
      <c r="AD182" s="59"/>
      <c r="AF182" s="279"/>
      <c r="AH182" s="277"/>
      <c r="AJ182" s="280"/>
    </row>
    <row r="183" spans="1:36" x14ac:dyDescent="0.35">
      <c r="A183" s="45"/>
      <c r="B183" s="59"/>
      <c r="D183" s="59"/>
      <c r="H183" s="569"/>
      <c r="I183" s="59"/>
      <c r="J183" s="45"/>
      <c r="K183" s="59"/>
      <c r="M183" s="59"/>
      <c r="O183" s="282"/>
      <c r="Q183" s="569"/>
      <c r="AB183" s="45"/>
      <c r="AC183" s="45"/>
      <c r="AD183" s="45"/>
      <c r="AF183" s="279"/>
      <c r="AH183" s="277"/>
      <c r="AJ183" s="280"/>
    </row>
    <row r="184" spans="1:36" x14ac:dyDescent="0.35">
      <c r="A184" s="45"/>
      <c r="B184" s="59"/>
      <c r="D184" s="59"/>
      <c r="H184" s="569"/>
      <c r="I184" s="59"/>
      <c r="J184" s="45"/>
      <c r="K184" s="59"/>
      <c r="M184" s="59"/>
      <c r="O184" s="282"/>
      <c r="Q184" s="569"/>
      <c r="T184" s="51"/>
      <c r="W184" s="52"/>
      <c r="X184" s="52"/>
      <c r="Y184" s="52"/>
      <c r="AB184" s="45"/>
      <c r="AC184" s="45"/>
      <c r="AD184" s="45"/>
      <c r="AF184" s="279"/>
      <c r="AH184" s="277"/>
      <c r="AJ184" s="280"/>
    </row>
    <row r="185" spans="1:36" x14ac:dyDescent="0.35">
      <c r="I185" s="59"/>
      <c r="T185" s="51"/>
      <c r="W185" s="52"/>
      <c r="X185" s="52"/>
      <c r="Y185" s="52"/>
      <c r="AB185" s="45"/>
      <c r="AC185" s="45"/>
      <c r="AD185" s="45"/>
      <c r="AF185" s="279"/>
      <c r="AH185" s="277"/>
      <c r="AJ185" s="45"/>
    </row>
    <row r="186" spans="1:36" x14ac:dyDescent="0.35">
      <c r="B186" s="51"/>
      <c r="E186" s="52"/>
      <c r="F186" s="52"/>
      <c r="G186" s="52"/>
      <c r="I186" s="59"/>
      <c r="K186" s="51"/>
      <c r="M186" s="283"/>
      <c r="N186" s="52"/>
      <c r="T186" s="51"/>
      <c r="W186" s="52"/>
      <c r="X186" s="52"/>
      <c r="Y186" s="52"/>
      <c r="AC186" s="51"/>
      <c r="AD186" s="51"/>
      <c r="AG186" s="52"/>
      <c r="AH186" s="52"/>
      <c r="AI186" s="52"/>
    </row>
    <row r="187" spans="1:36" x14ac:dyDescent="0.35">
      <c r="A187" s="576"/>
      <c r="B187" s="576"/>
    </row>
    <row r="188" spans="1:36" x14ac:dyDescent="0.35">
      <c r="I188" s="20" t="s">
        <v>80</v>
      </c>
    </row>
    <row r="189" spans="1:36" x14ac:dyDescent="0.35">
      <c r="A189" s="169"/>
      <c r="B189" s="571"/>
      <c r="C189" s="571"/>
      <c r="D189" s="571"/>
      <c r="E189" s="571"/>
      <c r="F189" s="571"/>
      <c r="G189" s="571"/>
      <c r="H189" s="170"/>
      <c r="I189" s="30"/>
      <c r="J189" s="169"/>
      <c r="K189" s="571"/>
      <c r="L189" s="571"/>
      <c r="M189" s="571"/>
      <c r="N189" s="571"/>
      <c r="O189" s="571"/>
      <c r="P189" s="571"/>
      <c r="Q189" s="170"/>
      <c r="R189" s="30"/>
      <c r="S189" s="169"/>
      <c r="T189" s="571"/>
      <c r="U189" s="571"/>
      <c r="V189" s="571"/>
      <c r="W189" s="571"/>
      <c r="X189" s="571"/>
      <c r="Y189" s="571"/>
      <c r="Z189" s="170"/>
      <c r="AA189" s="30"/>
      <c r="AB189" s="169"/>
      <c r="AC189" s="571"/>
      <c r="AD189" s="571"/>
      <c r="AE189" s="571"/>
      <c r="AF189" s="571"/>
      <c r="AG189" s="571"/>
      <c r="AH189" s="571"/>
      <c r="AI189" s="571"/>
      <c r="AJ189" s="170"/>
    </row>
    <row r="190" spans="1:36" x14ac:dyDescent="0.35">
      <c r="A190" s="45"/>
      <c r="B190" s="59"/>
      <c r="D190" s="59"/>
      <c r="H190" s="569"/>
      <c r="J190" s="45"/>
      <c r="K190" s="59"/>
      <c r="M190" s="59"/>
      <c r="Q190" s="569"/>
      <c r="S190" s="45"/>
      <c r="T190" s="59"/>
      <c r="V190" s="59"/>
      <c r="Z190" s="569"/>
      <c r="AB190" s="45"/>
      <c r="AC190" s="59"/>
      <c r="AD190" s="59"/>
      <c r="AF190" s="277"/>
      <c r="AJ190" s="569"/>
    </row>
    <row r="191" spans="1:36" x14ac:dyDescent="0.35">
      <c r="A191" s="45"/>
      <c r="B191" s="59"/>
      <c r="D191" s="59"/>
      <c r="H191" s="569"/>
      <c r="J191" s="45"/>
      <c r="K191" s="59"/>
      <c r="M191" s="59"/>
      <c r="Q191" s="569"/>
      <c r="S191" s="45"/>
      <c r="T191" s="59"/>
      <c r="V191" s="59"/>
      <c r="Z191" s="569"/>
      <c r="AB191" s="45"/>
      <c r="AC191" s="59"/>
      <c r="AD191" s="59"/>
      <c r="AF191" s="277"/>
      <c r="AJ191" s="569"/>
    </row>
    <row r="192" spans="1:36" x14ac:dyDescent="0.35">
      <c r="A192" s="45"/>
      <c r="B192" s="59"/>
      <c r="D192" s="59"/>
      <c r="H192" s="569"/>
      <c r="J192" s="45"/>
      <c r="K192" s="59"/>
      <c r="M192" s="59"/>
      <c r="Q192" s="569"/>
      <c r="S192" s="45"/>
      <c r="T192" s="59"/>
      <c r="V192" s="59"/>
      <c r="Z192" s="569"/>
      <c r="AB192" s="45"/>
      <c r="AC192" s="59"/>
      <c r="AD192" s="59"/>
      <c r="AF192" s="277"/>
      <c r="AJ192" s="569"/>
    </row>
    <row r="193" spans="1:36" x14ac:dyDescent="0.35">
      <c r="A193" s="45"/>
      <c r="B193" s="59"/>
      <c r="D193" s="59"/>
      <c r="H193" s="569"/>
      <c r="J193" s="45"/>
      <c r="K193" s="59"/>
      <c r="M193" s="59"/>
      <c r="Q193" s="569"/>
      <c r="S193" s="45"/>
      <c r="T193" s="59"/>
      <c r="V193" s="59"/>
      <c r="Z193" s="569"/>
      <c r="AB193" s="45"/>
      <c r="AC193" s="59"/>
      <c r="AD193" s="59"/>
      <c r="AF193" s="277"/>
      <c r="AJ193" s="569"/>
    </row>
    <row r="194" spans="1:36" x14ac:dyDescent="0.35">
      <c r="A194" s="45"/>
      <c r="B194" s="59"/>
      <c r="D194" s="59"/>
      <c r="H194" s="569"/>
      <c r="J194" s="45"/>
      <c r="K194" s="59"/>
      <c r="M194" s="59"/>
      <c r="Q194" s="569"/>
      <c r="S194" s="45"/>
      <c r="T194" s="59"/>
      <c r="V194" s="59"/>
      <c r="Z194" s="569"/>
      <c r="AB194" s="45"/>
      <c r="AC194" s="59"/>
      <c r="AD194" s="59"/>
      <c r="AF194" s="277"/>
      <c r="AJ194" s="569"/>
    </row>
    <row r="195" spans="1:36" x14ac:dyDescent="0.35">
      <c r="A195" s="45"/>
      <c r="B195" s="59"/>
      <c r="D195" s="59"/>
      <c r="H195" s="569"/>
      <c r="J195" s="45"/>
      <c r="K195" s="59"/>
      <c r="M195" s="59"/>
      <c r="Q195" s="569"/>
      <c r="S195" s="45"/>
      <c r="T195" s="59"/>
      <c r="V195" s="59"/>
      <c r="Z195" s="569"/>
      <c r="AB195" s="45"/>
      <c r="AC195" s="59"/>
      <c r="AD195" s="59"/>
      <c r="AF195" s="277"/>
      <c r="AJ195" s="569"/>
    </row>
    <row r="196" spans="1:36" x14ac:dyDescent="0.35">
      <c r="A196" s="45"/>
      <c r="B196" s="59"/>
      <c r="D196" s="59"/>
      <c r="H196" s="569"/>
      <c r="J196" s="45"/>
      <c r="K196" s="59"/>
      <c r="M196" s="59"/>
      <c r="Q196" s="569"/>
      <c r="S196" s="45"/>
      <c r="T196" s="59"/>
      <c r="V196" s="59"/>
      <c r="Z196" s="569"/>
      <c r="AB196" s="45"/>
      <c r="AC196" s="59"/>
      <c r="AD196" s="59"/>
      <c r="AF196" s="277"/>
      <c r="AJ196" s="569"/>
    </row>
    <row r="198" spans="1:36" x14ac:dyDescent="0.35">
      <c r="B198" s="51"/>
      <c r="E198" s="52"/>
      <c r="F198" s="52"/>
      <c r="G198" s="52"/>
      <c r="K198" s="51"/>
      <c r="N198" s="52"/>
      <c r="O198" s="52"/>
      <c r="P198" s="52"/>
      <c r="T198" s="51"/>
      <c r="W198" s="52"/>
      <c r="X198" s="52"/>
      <c r="Y198" s="52"/>
      <c r="AC198" s="51"/>
      <c r="AD198" s="51"/>
      <c r="AG198" s="52"/>
      <c r="AH198" s="52"/>
      <c r="AI198" s="52"/>
    </row>
    <row r="199" spans="1:36" x14ac:dyDescent="0.35">
      <c r="B199" s="51"/>
      <c r="E199" s="52"/>
      <c r="F199" s="52"/>
      <c r="G199" s="52"/>
      <c r="K199" s="51"/>
      <c r="N199" s="52"/>
      <c r="O199" s="52"/>
      <c r="P199" s="52"/>
      <c r="T199" s="51"/>
      <c r="W199" s="52"/>
      <c r="X199" s="52"/>
      <c r="Y199" s="52"/>
      <c r="AC199" s="51"/>
      <c r="AD199" s="51"/>
      <c r="AG199" s="52"/>
      <c r="AH199" s="52"/>
      <c r="AI199" s="52"/>
    </row>
    <row r="201" spans="1:36" x14ac:dyDescent="0.35">
      <c r="A201" s="169"/>
      <c r="B201" s="571"/>
      <c r="C201" s="571"/>
      <c r="D201" s="571"/>
      <c r="E201" s="571"/>
      <c r="F201" s="571"/>
      <c r="G201" s="571"/>
      <c r="H201" s="170"/>
      <c r="I201" s="30"/>
      <c r="J201" s="169"/>
      <c r="K201" s="571"/>
      <c r="L201" s="571"/>
      <c r="M201" s="571"/>
      <c r="N201" s="571"/>
      <c r="O201" s="574"/>
      <c r="P201" s="574"/>
      <c r="Q201" s="170"/>
      <c r="R201" s="30"/>
      <c r="S201" s="169"/>
      <c r="T201" s="571"/>
      <c r="U201" s="571"/>
      <c r="V201" s="571"/>
      <c r="W201" s="571"/>
      <c r="X201" s="571"/>
      <c r="Y201" s="571"/>
      <c r="Z201" s="170"/>
      <c r="AA201" s="30"/>
      <c r="AB201" s="169"/>
      <c r="AC201" s="571"/>
      <c r="AD201" s="571"/>
      <c r="AE201" s="571"/>
      <c r="AF201" s="571"/>
      <c r="AG201" s="571"/>
      <c r="AH201" s="571"/>
      <c r="AI201" s="571"/>
      <c r="AJ201" s="170"/>
    </row>
    <row r="202" spans="1:36" x14ac:dyDescent="0.35">
      <c r="A202" s="45"/>
      <c r="B202" s="59"/>
      <c r="D202" s="59"/>
      <c r="H202" s="569"/>
      <c r="J202" s="45"/>
      <c r="K202" s="59"/>
      <c r="M202" s="59"/>
      <c r="O202" s="282"/>
      <c r="Q202" s="569"/>
      <c r="S202" s="45"/>
      <c r="T202" s="59"/>
      <c r="U202" s="278"/>
      <c r="V202" s="59"/>
      <c r="Z202" s="570"/>
      <c r="AB202" s="45"/>
      <c r="AC202" s="59"/>
      <c r="AD202" s="59"/>
      <c r="AE202" s="278"/>
      <c r="AF202" s="279"/>
      <c r="AH202" s="277"/>
      <c r="AJ202" s="280"/>
    </row>
    <row r="203" spans="1:36" x14ac:dyDescent="0.35">
      <c r="A203" s="45"/>
      <c r="B203" s="59"/>
      <c r="D203" s="59"/>
      <c r="H203" s="569"/>
      <c r="J203" s="45"/>
      <c r="K203" s="59"/>
      <c r="M203" s="59"/>
      <c r="O203" s="282"/>
      <c r="Q203" s="569"/>
      <c r="S203" s="45"/>
      <c r="T203" s="59"/>
      <c r="V203" s="59"/>
      <c r="Z203" s="570"/>
      <c r="AB203" s="45"/>
      <c r="AC203" s="59"/>
      <c r="AD203" s="59"/>
      <c r="AF203" s="279"/>
      <c r="AH203" s="277"/>
      <c r="AJ203" s="280"/>
    </row>
    <row r="204" spans="1:36" x14ac:dyDescent="0.35">
      <c r="A204" s="45"/>
      <c r="B204" s="59"/>
      <c r="D204" s="59"/>
      <c r="H204" s="569"/>
      <c r="J204" s="45"/>
      <c r="K204" s="59"/>
      <c r="M204" s="59"/>
      <c r="O204" s="282"/>
      <c r="Q204" s="569"/>
      <c r="S204" s="45"/>
      <c r="T204" s="59"/>
      <c r="V204" s="59"/>
      <c r="Z204" s="570"/>
      <c r="AB204" s="45"/>
      <c r="AC204" s="59"/>
      <c r="AD204" s="59"/>
      <c r="AF204" s="279"/>
      <c r="AH204" s="277"/>
      <c r="AJ204" s="280"/>
    </row>
    <row r="205" spans="1:36" x14ac:dyDescent="0.35">
      <c r="A205" s="45"/>
      <c r="B205" s="59"/>
      <c r="D205" s="59"/>
      <c r="H205" s="569"/>
      <c r="I205" s="59"/>
      <c r="J205" s="45"/>
      <c r="K205" s="59"/>
      <c r="M205" s="59"/>
      <c r="O205" s="282"/>
      <c r="Q205" s="569"/>
      <c r="S205" s="45"/>
      <c r="T205" s="59"/>
      <c r="V205" s="59"/>
      <c r="Z205" s="570"/>
      <c r="AB205" s="45"/>
      <c r="AC205" s="59"/>
      <c r="AD205" s="59"/>
      <c r="AF205" s="279"/>
      <c r="AH205" s="277"/>
      <c r="AJ205" s="280"/>
    </row>
    <row r="206" spans="1:36" x14ac:dyDescent="0.35">
      <c r="A206" s="45"/>
      <c r="B206" s="59"/>
      <c r="D206" s="59"/>
      <c r="H206" s="569"/>
      <c r="I206" s="59"/>
      <c r="J206" s="45"/>
      <c r="K206" s="59"/>
      <c r="M206" s="59"/>
      <c r="O206" s="282"/>
      <c r="Q206" s="569"/>
      <c r="S206" s="45"/>
      <c r="T206" s="59"/>
      <c r="V206" s="59"/>
      <c r="Z206" s="570"/>
      <c r="AB206" s="45"/>
      <c r="AC206" s="59"/>
      <c r="AD206" s="59"/>
      <c r="AF206" s="279"/>
      <c r="AH206" s="277"/>
      <c r="AJ206" s="280"/>
    </row>
    <row r="207" spans="1:36" x14ac:dyDescent="0.35">
      <c r="A207" s="45"/>
      <c r="B207" s="59"/>
      <c r="D207" s="59"/>
      <c r="H207" s="569"/>
      <c r="I207" s="59"/>
      <c r="J207" s="45"/>
      <c r="K207" s="59"/>
      <c r="M207" s="59"/>
      <c r="O207" s="282"/>
      <c r="Q207" s="569"/>
      <c r="AB207" s="45"/>
      <c r="AC207" s="45"/>
      <c r="AD207" s="45"/>
      <c r="AF207" s="279"/>
      <c r="AH207" s="277"/>
      <c r="AJ207" s="280"/>
    </row>
    <row r="208" spans="1:36" x14ac:dyDescent="0.35">
      <c r="A208" s="45"/>
      <c r="B208" s="59"/>
      <c r="D208" s="59"/>
      <c r="H208" s="569"/>
      <c r="I208" s="59"/>
      <c r="J208" s="45"/>
      <c r="K208" s="59"/>
      <c r="M208" s="59"/>
      <c r="O208" s="282"/>
      <c r="Q208" s="569"/>
      <c r="T208" s="51"/>
      <c r="W208" s="52"/>
      <c r="X208" s="52"/>
      <c r="Y208" s="52"/>
      <c r="AB208" s="45"/>
      <c r="AC208" s="45"/>
      <c r="AD208" s="45"/>
      <c r="AF208" s="279"/>
      <c r="AH208" s="277"/>
      <c r="AJ208" s="280"/>
    </row>
    <row r="209" spans="1:36" x14ac:dyDescent="0.35">
      <c r="I209" s="59"/>
      <c r="T209" s="51"/>
      <c r="W209" s="52"/>
      <c r="X209" s="52"/>
      <c r="Y209" s="52"/>
      <c r="AB209" s="45"/>
      <c r="AC209" s="45"/>
      <c r="AD209" s="45"/>
      <c r="AF209" s="279"/>
      <c r="AH209" s="277"/>
      <c r="AJ209" s="45"/>
    </row>
    <row r="210" spans="1:36" x14ac:dyDescent="0.35">
      <c r="B210" s="51"/>
      <c r="E210" s="52"/>
      <c r="F210" s="52"/>
      <c r="G210" s="52"/>
      <c r="I210" s="59"/>
      <c r="K210" s="51"/>
      <c r="M210" s="283"/>
      <c r="N210" s="52"/>
      <c r="T210" s="51"/>
      <c r="W210" s="52"/>
      <c r="X210" s="52"/>
      <c r="Y210" s="52"/>
      <c r="AC210" s="51"/>
      <c r="AD210" s="51"/>
      <c r="AG210" s="52"/>
      <c r="AH210" s="52"/>
      <c r="AI210" s="52"/>
    </row>
    <row r="211" spans="1:36" x14ac:dyDescent="0.35">
      <c r="A211" s="576"/>
      <c r="B211" s="576"/>
    </row>
    <row r="212" spans="1:36" x14ac:dyDescent="0.35">
      <c r="I212" s="20" t="s">
        <v>80</v>
      </c>
    </row>
    <row r="213" spans="1:36" x14ac:dyDescent="0.35">
      <c r="A213" s="169"/>
      <c r="B213" s="571"/>
      <c r="C213" s="571"/>
      <c r="D213" s="571"/>
      <c r="E213" s="571"/>
      <c r="F213" s="571"/>
      <c r="G213" s="571"/>
      <c r="H213" s="170"/>
      <c r="I213" s="30"/>
      <c r="J213" s="169"/>
      <c r="K213" s="571"/>
      <c r="L213" s="571"/>
      <c r="M213" s="571"/>
      <c r="N213" s="571"/>
      <c r="O213" s="571"/>
      <c r="P213" s="571"/>
      <c r="Q213" s="170"/>
      <c r="R213" s="30"/>
      <c r="S213" s="169"/>
      <c r="T213" s="571"/>
      <c r="U213" s="571"/>
      <c r="V213" s="571"/>
      <c r="W213" s="571"/>
      <c r="X213" s="571"/>
      <c r="Y213" s="571"/>
      <c r="Z213" s="170"/>
      <c r="AA213" s="30"/>
      <c r="AB213" s="169"/>
      <c r="AC213" s="571"/>
      <c r="AD213" s="571"/>
      <c r="AE213" s="571"/>
      <c r="AF213" s="571"/>
      <c r="AG213" s="571"/>
      <c r="AH213" s="571"/>
      <c r="AI213" s="571"/>
      <c r="AJ213" s="170"/>
    </row>
    <row r="214" spans="1:36" x14ac:dyDescent="0.35">
      <c r="A214" s="45"/>
      <c r="B214" s="59"/>
      <c r="D214" s="59"/>
      <c r="H214" s="569"/>
      <c r="J214" s="45"/>
      <c r="K214" s="59"/>
      <c r="M214" s="59"/>
      <c r="Q214" s="569"/>
      <c r="S214" s="45"/>
      <c r="T214" s="59"/>
      <c r="V214" s="59"/>
      <c r="Z214" s="569"/>
      <c r="AB214" s="45"/>
      <c r="AC214" s="59"/>
      <c r="AD214" s="59"/>
      <c r="AF214" s="277"/>
      <c r="AJ214" s="569"/>
    </row>
    <row r="215" spans="1:36" x14ac:dyDescent="0.35">
      <c r="A215" s="45"/>
      <c r="B215" s="59"/>
      <c r="D215" s="59"/>
      <c r="H215" s="569"/>
      <c r="J215" s="45"/>
      <c r="K215" s="59"/>
      <c r="M215" s="59"/>
      <c r="Q215" s="569"/>
      <c r="S215" s="45"/>
      <c r="T215" s="59"/>
      <c r="V215" s="59"/>
      <c r="Z215" s="569"/>
      <c r="AB215" s="45"/>
      <c r="AC215" s="59"/>
      <c r="AD215" s="59"/>
      <c r="AF215" s="277"/>
      <c r="AJ215" s="569"/>
    </row>
    <row r="216" spans="1:36" x14ac:dyDescent="0.35">
      <c r="A216" s="45"/>
      <c r="B216" s="59"/>
      <c r="D216" s="59"/>
      <c r="H216" s="569"/>
      <c r="J216" s="45"/>
      <c r="K216" s="59"/>
      <c r="M216" s="59"/>
      <c r="Q216" s="569"/>
      <c r="S216" s="45"/>
      <c r="T216" s="59"/>
      <c r="V216" s="59"/>
      <c r="Z216" s="569"/>
      <c r="AB216" s="45"/>
      <c r="AC216" s="59"/>
      <c r="AD216" s="59"/>
      <c r="AF216" s="277"/>
      <c r="AJ216" s="569"/>
    </row>
    <row r="217" spans="1:36" x14ac:dyDescent="0.35">
      <c r="A217" s="45"/>
      <c r="B217" s="59"/>
      <c r="D217" s="59"/>
      <c r="H217" s="569"/>
      <c r="J217" s="45"/>
      <c r="K217" s="59"/>
      <c r="M217" s="59"/>
      <c r="Q217" s="569"/>
      <c r="S217" s="45"/>
      <c r="T217" s="59"/>
      <c r="V217" s="59"/>
      <c r="Z217" s="569"/>
      <c r="AB217" s="45"/>
      <c r="AC217" s="59"/>
      <c r="AD217" s="59"/>
      <c r="AF217" s="277"/>
      <c r="AJ217" s="569"/>
    </row>
    <row r="218" spans="1:36" x14ac:dyDescent="0.35">
      <c r="A218" s="45"/>
      <c r="B218" s="59"/>
      <c r="D218" s="59"/>
      <c r="H218" s="569"/>
      <c r="J218" s="45"/>
      <c r="K218" s="59"/>
      <c r="M218" s="59"/>
      <c r="Q218" s="569"/>
      <c r="S218" s="45"/>
      <c r="T218" s="59"/>
      <c r="V218" s="59"/>
      <c r="Z218" s="569"/>
      <c r="AB218" s="45"/>
      <c r="AC218" s="59"/>
      <c r="AD218" s="59"/>
      <c r="AF218" s="277"/>
      <c r="AJ218" s="569"/>
    </row>
    <row r="219" spans="1:36" x14ac:dyDescent="0.35">
      <c r="A219" s="45"/>
      <c r="B219" s="59"/>
      <c r="D219" s="59"/>
      <c r="H219" s="569"/>
      <c r="J219" s="45"/>
      <c r="K219" s="59"/>
      <c r="M219" s="59"/>
      <c r="Q219" s="569"/>
      <c r="S219" s="45"/>
      <c r="T219" s="59"/>
      <c r="V219" s="59"/>
      <c r="Z219" s="569"/>
      <c r="AB219" s="45"/>
      <c r="AC219" s="59"/>
      <c r="AD219" s="59"/>
      <c r="AF219" s="277"/>
      <c r="AJ219" s="569"/>
    </row>
    <row r="220" spans="1:36" x14ac:dyDescent="0.35">
      <c r="A220" s="45"/>
      <c r="B220" s="59"/>
      <c r="D220" s="59"/>
      <c r="H220" s="569"/>
      <c r="J220" s="45"/>
      <c r="K220" s="59"/>
      <c r="M220" s="59"/>
      <c r="Q220" s="569"/>
      <c r="S220" s="45"/>
      <c r="T220" s="59"/>
      <c r="V220" s="59"/>
      <c r="Z220" s="569"/>
      <c r="AB220" s="45"/>
      <c r="AC220" s="59"/>
      <c r="AD220" s="59"/>
      <c r="AF220" s="277"/>
      <c r="AJ220" s="569"/>
    </row>
    <row r="222" spans="1:36" x14ac:dyDescent="0.35">
      <c r="B222" s="51"/>
      <c r="E222" s="52"/>
      <c r="F222" s="52"/>
      <c r="G222" s="52"/>
      <c r="K222" s="51"/>
      <c r="N222" s="52"/>
      <c r="O222" s="52"/>
      <c r="P222" s="52"/>
      <c r="T222" s="51"/>
      <c r="W222" s="52"/>
      <c r="X222" s="52"/>
      <c r="Y222" s="52"/>
      <c r="AC222" s="51"/>
      <c r="AD222" s="51"/>
      <c r="AG222" s="52"/>
      <c r="AH222" s="52"/>
      <c r="AI222" s="52"/>
    </row>
    <row r="223" spans="1:36" x14ac:dyDescent="0.35">
      <c r="B223" s="51"/>
      <c r="E223" s="52"/>
      <c r="F223" s="52"/>
      <c r="G223" s="52"/>
      <c r="K223" s="51"/>
      <c r="N223" s="52"/>
      <c r="O223" s="52"/>
      <c r="P223" s="52"/>
      <c r="T223" s="51"/>
      <c r="W223" s="52"/>
      <c r="X223" s="52"/>
      <c r="Y223" s="52"/>
      <c r="AC223" s="51"/>
      <c r="AD223" s="51"/>
      <c r="AG223" s="52"/>
      <c r="AH223" s="52"/>
      <c r="AI223" s="52"/>
    </row>
    <row r="225" spans="1:36" x14ac:dyDescent="0.35">
      <c r="A225" s="169"/>
      <c r="B225" s="571"/>
      <c r="C225" s="571"/>
      <c r="D225" s="571"/>
      <c r="E225" s="571"/>
      <c r="F225" s="571"/>
      <c r="G225" s="571"/>
      <c r="H225" s="170"/>
      <c r="I225" s="30"/>
      <c r="J225" s="169"/>
      <c r="K225" s="571"/>
      <c r="L225" s="571"/>
      <c r="M225" s="571"/>
      <c r="N225" s="571"/>
      <c r="O225" s="574"/>
      <c r="P225" s="574"/>
      <c r="Q225" s="170"/>
      <c r="R225" s="30"/>
      <c r="S225" s="169"/>
      <c r="T225" s="571"/>
      <c r="U225" s="571"/>
      <c r="V225" s="571"/>
      <c r="W225" s="571"/>
      <c r="X225" s="571"/>
      <c r="Y225" s="571"/>
      <c r="Z225" s="170"/>
      <c r="AA225" s="30"/>
      <c r="AB225" s="169"/>
      <c r="AC225" s="571"/>
      <c r="AD225" s="571"/>
      <c r="AE225" s="571"/>
      <c r="AF225" s="571"/>
      <c r="AG225" s="571"/>
      <c r="AH225" s="571"/>
      <c r="AI225" s="571"/>
      <c r="AJ225" s="170"/>
    </row>
    <row r="226" spans="1:36" x14ac:dyDescent="0.35">
      <c r="A226" s="45"/>
      <c r="B226" s="59"/>
      <c r="D226" s="59"/>
      <c r="H226" s="569"/>
      <c r="J226" s="45"/>
      <c r="K226" s="59"/>
      <c r="M226" s="59"/>
      <c r="O226" s="282"/>
      <c r="Q226" s="569"/>
      <c r="S226" s="45"/>
      <c r="T226" s="59"/>
      <c r="U226" s="278"/>
      <c r="V226" s="59"/>
      <c r="Z226" s="570"/>
      <c r="AB226" s="45"/>
      <c r="AC226" s="59"/>
      <c r="AD226" s="59"/>
      <c r="AE226" s="278"/>
      <c r="AF226" s="279"/>
      <c r="AH226" s="277"/>
      <c r="AJ226" s="280"/>
    </row>
    <row r="227" spans="1:36" x14ac:dyDescent="0.35">
      <c r="A227" s="45"/>
      <c r="B227" s="59"/>
      <c r="D227" s="59"/>
      <c r="H227" s="569"/>
      <c r="J227" s="45"/>
      <c r="K227" s="59"/>
      <c r="M227" s="59"/>
      <c r="O227" s="282"/>
      <c r="Q227" s="569"/>
      <c r="S227" s="45"/>
      <c r="T227" s="59"/>
      <c r="V227" s="59"/>
      <c r="Z227" s="570"/>
      <c r="AB227" s="45"/>
      <c r="AC227" s="59"/>
      <c r="AD227" s="59"/>
      <c r="AF227" s="279"/>
      <c r="AH227" s="277"/>
      <c r="AJ227" s="280"/>
    </row>
    <row r="228" spans="1:36" x14ac:dyDescent="0.35">
      <c r="A228" s="45"/>
      <c r="B228" s="59"/>
      <c r="D228" s="59"/>
      <c r="H228" s="569"/>
      <c r="J228" s="45"/>
      <c r="K228" s="59"/>
      <c r="M228" s="59"/>
      <c r="O228" s="282"/>
      <c r="Q228" s="569"/>
      <c r="S228" s="45"/>
      <c r="T228" s="59"/>
      <c r="V228" s="59"/>
      <c r="Z228" s="570"/>
      <c r="AB228" s="45"/>
      <c r="AC228" s="59"/>
      <c r="AD228" s="59"/>
      <c r="AF228" s="279"/>
      <c r="AH228" s="277"/>
      <c r="AJ228" s="280"/>
    </row>
    <row r="229" spans="1:36" x14ac:dyDescent="0.35">
      <c r="A229" s="45"/>
      <c r="B229" s="59"/>
      <c r="D229" s="59"/>
      <c r="H229" s="569"/>
      <c r="I229" s="59"/>
      <c r="J229" s="45"/>
      <c r="K229" s="59"/>
      <c r="M229" s="59"/>
      <c r="O229" s="282"/>
      <c r="Q229" s="569"/>
      <c r="S229" s="45"/>
      <c r="T229" s="59"/>
      <c r="V229" s="59"/>
      <c r="Z229" s="570"/>
      <c r="AB229" s="45"/>
      <c r="AC229" s="59"/>
      <c r="AD229" s="59"/>
      <c r="AF229" s="279"/>
      <c r="AH229" s="277"/>
      <c r="AJ229" s="280"/>
    </row>
    <row r="230" spans="1:36" x14ac:dyDescent="0.35">
      <c r="A230" s="45"/>
      <c r="B230" s="59"/>
      <c r="D230" s="59"/>
      <c r="H230" s="569"/>
      <c r="I230" s="59"/>
      <c r="J230" s="45"/>
      <c r="K230" s="59"/>
      <c r="M230" s="59"/>
      <c r="O230" s="282"/>
      <c r="Q230" s="569"/>
      <c r="S230" s="45"/>
      <c r="T230" s="59"/>
      <c r="V230" s="59"/>
      <c r="Z230" s="570"/>
      <c r="AB230" s="45"/>
      <c r="AC230" s="59"/>
      <c r="AD230" s="59"/>
      <c r="AF230" s="279"/>
      <c r="AH230" s="277"/>
      <c r="AJ230" s="280"/>
    </row>
    <row r="231" spans="1:36" x14ac:dyDescent="0.35">
      <c r="A231" s="45"/>
      <c r="B231" s="59"/>
      <c r="D231" s="59"/>
      <c r="H231" s="569"/>
      <c r="I231" s="59"/>
      <c r="J231" s="45"/>
      <c r="K231" s="59"/>
      <c r="M231" s="59"/>
      <c r="O231" s="282"/>
      <c r="Q231" s="569"/>
      <c r="AB231" s="45"/>
      <c r="AC231" s="45"/>
      <c r="AD231" s="45"/>
      <c r="AF231" s="279"/>
      <c r="AH231" s="277"/>
      <c r="AJ231" s="280"/>
    </row>
    <row r="232" spans="1:36" x14ac:dyDescent="0.35">
      <c r="A232" s="45"/>
      <c r="B232" s="59"/>
      <c r="D232" s="59"/>
      <c r="H232" s="569"/>
      <c r="I232" s="59"/>
      <c r="J232" s="45"/>
      <c r="K232" s="59"/>
      <c r="M232" s="59"/>
      <c r="O232" s="282"/>
      <c r="Q232" s="569"/>
      <c r="T232" s="51"/>
      <c r="W232" s="52"/>
      <c r="X232" s="52"/>
      <c r="Y232" s="52"/>
      <c r="AB232" s="45"/>
      <c r="AC232" s="45"/>
      <c r="AD232" s="45"/>
      <c r="AF232" s="279"/>
      <c r="AH232" s="277"/>
      <c r="AJ232" s="280"/>
    </row>
    <row r="233" spans="1:36" x14ac:dyDescent="0.35">
      <c r="I233" s="59"/>
      <c r="T233" s="51"/>
      <c r="W233" s="52"/>
      <c r="X233" s="52"/>
      <c r="Y233" s="52"/>
      <c r="AB233" s="45"/>
      <c r="AC233" s="45"/>
      <c r="AD233" s="45"/>
      <c r="AF233" s="279"/>
      <c r="AH233" s="277"/>
      <c r="AJ233" s="45"/>
    </row>
    <row r="234" spans="1:36" x14ac:dyDescent="0.35">
      <c r="B234" s="51"/>
      <c r="E234" s="52"/>
      <c r="F234" s="52"/>
      <c r="G234" s="52"/>
      <c r="I234" s="59"/>
      <c r="K234" s="51"/>
      <c r="M234" s="283"/>
      <c r="N234" s="52"/>
      <c r="T234" s="51"/>
      <c r="W234" s="52"/>
      <c r="X234" s="52"/>
      <c r="Y234" s="52"/>
      <c r="AC234" s="51"/>
      <c r="AD234" s="51"/>
      <c r="AG234" s="52"/>
      <c r="AH234" s="52"/>
      <c r="AI234" s="52"/>
    </row>
  </sheetData>
  <mergeCells count="310">
    <mergeCell ref="H226:H232"/>
    <mergeCell ref="Q226:Q232"/>
    <mergeCell ref="Z226:Z230"/>
    <mergeCell ref="X213:Y213"/>
    <mergeCell ref="AC213:AE213"/>
    <mergeCell ref="AF213:AG213"/>
    <mergeCell ref="AH213:AI213"/>
    <mergeCell ref="H214:H220"/>
    <mergeCell ref="Q214:Q220"/>
    <mergeCell ref="Z214:Z220"/>
    <mergeCell ref="AJ214:AJ220"/>
    <mergeCell ref="B225:C225"/>
    <mergeCell ref="D225:E225"/>
    <mergeCell ref="F225:G225"/>
    <mergeCell ref="K225:L225"/>
    <mergeCell ref="M225:N225"/>
    <mergeCell ref="O225:P225"/>
    <mergeCell ref="T225:U225"/>
    <mergeCell ref="V225:W225"/>
    <mergeCell ref="X225:Y225"/>
    <mergeCell ref="AC225:AE225"/>
    <mergeCell ref="AF225:AG225"/>
    <mergeCell ref="AH225:AI225"/>
    <mergeCell ref="AK3:AK4"/>
    <mergeCell ref="AL3:AL4"/>
    <mergeCell ref="A211:B211"/>
    <mergeCell ref="B213:C213"/>
    <mergeCell ref="D213:E213"/>
    <mergeCell ref="F213:G213"/>
    <mergeCell ref="K213:L213"/>
    <mergeCell ref="M213:N213"/>
    <mergeCell ref="O213:P213"/>
    <mergeCell ref="T213:U213"/>
    <mergeCell ref="V213:W213"/>
    <mergeCell ref="AJ22:AJ28"/>
    <mergeCell ref="L8:M8"/>
    <mergeCell ref="Z3:AA3"/>
    <mergeCell ref="AI3:AI4"/>
    <mergeCell ref="AJ3:AJ4"/>
    <mergeCell ref="B33:C33"/>
    <mergeCell ref="D33:E33"/>
    <mergeCell ref="F33:G33"/>
    <mergeCell ref="K33:L33"/>
    <mergeCell ref="M33:N33"/>
    <mergeCell ref="O33:P33"/>
    <mergeCell ref="T33:U33"/>
    <mergeCell ref="V33:W33"/>
    <mergeCell ref="A1:H1"/>
    <mergeCell ref="B21:C21"/>
    <mergeCell ref="D21:E21"/>
    <mergeCell ref="F21:G21"/>
    <mergeCell ref="A19:B19"/>
    <mergeCell ref="K21:L21"/>
    <mergeCell ref="L3:L4"/>
    <mergeCell ref="M3:M4"/>
    <mergeCell ref="X3:Y3"/>
    <mergeCell ref="N3:N4"/>
    <mergeCell ref="O3:O4"/>
    <mergeCell ref="P3:P4"/>
    <mergeCell ref="L1:P1"/>
    <mergeCell ref="L2:P2"/>
    <mergeCell ref="AB3:AC3"/>
    <mergeCell ref="AE3:AE4"/>
    <mergeCell ref="AF3:AF4"/>
    <mergeCell ref="AG3:AG4"/>
    <mergeCell ref="AH3:AH4"/>
    <mergeCell ref="R3:S3"/>
    <mergeCell ref="T3:U3"/>
    <mergeCell ref="V3:W3"/>
    <mergeCell ref="AF33:AG33"/>
    <mergeCell ref="AH33:AI33"/>
    <mergeCell ref="AH21:AI21"/>
    <mergeCell ref="AF21:AG21"/>
    <mergeCell ref="AC21:AE21"/>
    <mergeCell ref="AC33:AE33"/>
    <mergeCell ref="Z22:Z28"/>
    <mergeCell ref="T21:U21"/>
    <mergeCell ref="V21:W21"/>
    <mergeCell ref="X21:Y21"/>
    <mergeCell ref="AJ46:AJ52"/>
    <mergeCell ref="B57:C57"/>
    <mergeCell ref="D57:E57"/>
    <mergeCell ref="F57:G57"/>
    <mergeCell ref="K57:L57"/>
    <mergeCell ref="M57:N57"/>
    <mergeCell ref="O57:P57"/>
    <mergeCell ref="T57:U57"/>
    <mergeCell ref="V57:W57"/>
    <mergeCell ref="X57:Y57"/>
    <mergeCell ref="AC57:AE57"/>
    <mergeCell ref="AF57:AG57"/>
    <mergeCell ref="AH57:AI57"/>
    <mergeCell ref="A43:B43"/>
    <mergeCell ref="B45:C45"/>
    <mergeCell ref="D45:E45"/>
    <mergeCell ref="F45:G45"/>
    <mergeCell ref="X33:Y33"/>
    <mergeCell ref="AF45:AG45"/>
    <mergeCell ref="AH45:AI45"/>
    <mergeCell ref="T45:U45"/>
    <mergeCell ref="V45:W45"/>
    <mergeCell ref="X45:Y45"/>
    <mergeCell ref="Z34:Z38"/>
    <mergeCell ref="AF69:AG69"/>
    <mergeCell ref="AH69:AI69"/>
    <mergeCell ref="H70:H76"/>
    <mergeCell ref="Q70:Q76"/>
    <mergeCell ref="Z70:Z76"/>
    <mergeCell ref="H58:H64"/>
    <mergeCell ref="Q58:Q64"/>
    <mergeCell ref="Z58:Z62"/>
    <mergeCell ref="K69:L69"/>
    <mergeCell ref="M69:N69"/>
    <mergeCell ref="O69:P69"/>
    <mergeCell ref="T69:U69"/>
    <mergeCell ref="V69:W69"/>
    <mergeCell ref="X69:Y69"/>
    <mergeCell ref="AJ70:AJ76"/>
    <mergeCell ref="B81:C81"/>
    <mergeCell ref="D81:E81"/>
    <mergeCell ref="F81:G81"/>
    <mergeCell ref="K81:L81"/>
    <mergeCell ref="M81:N81"/>
    <mergeCell ref="O81:P81"/>
    <mergeCell ref="T81:U81"/>
    <mergeCell ref="V81:W81"/>
    <mergeCell ref="X81:Y81"/>
    <mergeCell ref="AC81:AE81"/>
    <mergeCell ref="AF81:AG81"/>
    <mergeCell ref="AH81:AI81"/>
    <mergeCell ref="AF93:AG93"/>
    <mergeCell ref="AH93:AI93"/>
    <mergeCell ref="H94:H100"/>
    <mergeCell ref="Q94:Q100"/>
    <mergeCell ref="Z94:Z100"/>
    <mergeCell ref="H82:H88"/>
    <mergeCell ref="Q82:Q88"/>
    <mergeCell ref="Z82:Z86"/>
    <mergeCell ref="K93:L93"/>
    <mergeCell ref="M93:N93"/>
    <mergeCell ref="O93:P93"/>
    <mergeCell ref="T93:U93"/>
    <mergeCell ref="V93:W93"/>
    <mergeCell ref="X93:Y93"/>
    <mergeCell ref="AJ94:AJ100"/>
    <mergeCell ref="B105:C105"/>
    <mergeCell ref="D105:E105"/>
    <mergeCell ref="F105:G105"/>
    <mergeCell ref="K105:L105"/>
    <mergeCell ref="M105:N105"/>
    <mergeCell ref="O105:P105"/>
    <mergeCell ref="T105:U105"/>
    <mergeCell ref="V105:W105"/>
    <mergeCell ref="X105:Y105"/>
    <mergeCell ref="AC105:AE105"/>
    <mergeCell ref="AF105:AG105"/>
    <mergeCell ref="AH105:AI105"/>
    <mergeCell ref="AF117:AG117"/>
    <mergeCell ref="AH117:AI117"/>
    <mergeCell ref="H118:H124"/>
    <mergeCell ref="Q118:Q124"/>
    <mergeCell ref="Z118:Z124"/>
    <mergeCell ref="H106:H112"/>
    <mergeCell ref="Q106:Q112"/>
    <mergeCell ref="Z106:Z110"/>
    <mergeCell ref="K117:L117"/>
    <mergeCell ref="M117:N117"/>
    <mergeCell ref="O117:P117"/>
    <mergeCell ref="T117:U117"/>
    <mergeCell ref="V117:W117"/>
    <mergeCell ref="X117:Y117"/>
    <mergeCell ref="AJ118:AJ124"/>
    <mergeCell ref="B129:C129"/>
    <mergeCell ref="D129:E129"/>
    <mergeCell ref="F129:G129"/>
    <mergeCell ref="K129:L129"/>
    <mergeCell ref="M129:N129"/>
    <mergeCell ref="O129:P129"/>
    <mergeCell ref="T129:U129"/>
    <mergeCell ref="V129:W129"/>
    <mergeCell ref="X129:Y129"/>
    <mergeCell ref="AC129:AE129"/>
    <mergeCell ref="AF129:AG129"/>
    <mergeCell ref="AH129:AI129"/>
    <mergeCell ref="AH153:AI153"/>
    <mergeCell ref="AC141:AE141"/>
    <mergeCell ref="AF141:AG141"/>
    <mergeCell ref="AH141:AI141"/>
    <mergeCell ref="H142:H148"/>
    <mergeCell ref="Q142:Q148"/>
    <mergeCell ref="Z142:Z148"/>
    <mergeCell ref="H130:H136"/>
    <mergeCell ref="Q130:Q136"/>
    <mergeCell ref="Z130:Z134"/>
    <mergeCell ref="K141:L141"/>
    <mergeCell ref="M141:N141"/>
    <mergeCell ref="O141:P141"/>
    <mergeCell ref="T141:U141"/>
    <mergeCell ref="V141:W141"/>
    <mergeCell ref="X141:Y141"/>
    <mergeCell ref="B177:C177"/>
    <mergeCell ref="D177:E177"/>
    <mergeCell ref="F177:G177"/>
    <mergeCell ref="K177:L177"/>
    <mergeCell ref="M177:N177"/>
    <mergeCell ref="O177:P177"/>
    <mergeCell ref="T177:U177"/>
    <mergeCell ref="V177:W177"/>
    <mergeCell ref="X177:Y177"/>
    <mergeCell ref="A67:B67"/>
    <mergeCell ref="A91:B91"/>
    <mergeCell ref="A115:B115"/>
    <mergeCell ref="A139:B139"/>
    <mergeCell ref="A163:B163"/>
    <mergeCell ref="B165:C165"/>
    <mergeCell ref="D165:E165"/>
    <mergeCell ref="F165:G165"/>
    <mergeCell ref="B141:C141"/>
    <mergeCell ref="D141:E141"/>
    <mergeCell ref="F141:G141"/>
    <mergeCell ref="B117:C117"/>
    <mergeCell ref="D117:E117"/>
    <mergeCell ref="F117:G117"/>
    <mergeCell ref="B93:C93"/>
    <mergeCell ref="D93:E93"/>
    <mergeCell ref="F93:G93"/>
    <mergeCell ref="B69:C69"/>
    <mergeCell ref="D69:E69"/>
    <mergeCell ref="F69:G69"/>
    <mergeCell ref="B153:C153"/>
    <mergeCell ref="D153:E153"/>
    <mergeCell ref="F153:G153"/>
    <mergeCell ref="A187:B187"/>
    <mergeCell ref="B189:C189"/>
    <mergeCell ref="D189:E189"/>
    <mergeCell ref="F189:G189"/>
    <mergeCell ref="K189:L189"/>
    <mergeCell ref="M189:N189"/>
    <mergeCell ref="O189:P189"/>
    <mergeCell ref="T189:U189"/>
    <mergeCell ref="V189:W189"/>
    <mergeCell ref="B201:C201"/>
    <mergeCell ref="D201:E201"/>
    <mergeCell ref="F201:G201"/>
    <mergeCell ref="K201:L201"/>
    <mergeCell ref="M201:N201"/>
    <mergeCell ref="O201:P201"/>
    <mergeCell ref="T201:U201"/>
    <mergeCell ref="V201:W201"/>
    <mergeCell ref="X201:Y201"/>
    <mergeCell ref="AF201:AG201"/>
    <mergeCell ref="AH201:AI201"/>
    <mergeCell ref="H178:H184"/>
    <mergeCell ref="Q178:Q184"/>
    <mergeCell ref="Z178:Z182"/>
    <mergeCell ref="AJ166:AJ172"/>
    <mergeCell ref="AC177:AE177"/>
    <mergeCell ref="AF177:AG177"/>
    <mergeCell ref="AH177:AI177"/>
    <mergeCell ref="H166:H172"/>
    <mergeCell ref="Q166:Q172"/>
    <mergeCell ref="Z166:Z172"/>
    <mergeCell ref="AM3:AM4"/>
    <mergeCell ref="X189:Y189"/>
    <mergeCell ref="AC189:AE189"/>
    <mergeCell ref="AF189:AG189"/>
    <mergeCell ref="AH189:AI189"/>
    <mergeCell ref="H190:H196"/>
    <mergeCell ref="Q190:Q196"/>
    <mergeCell ref="Z190:Z196"/>
    <mergeCell ref="AJ190:AJ196"/>
    <mergeCell ref="AC165:AE165"/>
    <mergeCell ref="AF165:AG165"/>
    <mergeCell ref="AH165:AI165"/>
    <mergeCell ref="H154:H160"/>
    <mergeCell ref="Q154:Q160"/>
    <mergeCell ref="Z154:Z158"/>
    <mergeCell ref="K165:L165"/>
    <mergeCell ref="M165:N165"/>
    <mergeCell ref="O165:P165"/>
    <mergeCell ref="T165:U165"/>
    <mergeCell ref="V165:W165"/>
    <mergeCell ref="X165:Y165"/>
    <mergeCell ref="AJ142:AJ148"/>
    <mergeCell ref="AC153:AE153"/>
    <mergeCell ref="AF153:AG153"/>
    <mergeCell ref="H202:H208"/>
    <mergeCell ref="Q202:Q208"/>
    <mergeCell ref="Z202:Z206"/>
    <mergeCell ref="AD3:AD4"/>
    <mergeCell ref="AC201:AE201"/>
    <mergeCell ref="AC117:AE117"/>
    <mergeCell ref="AC93:AE93"/>
    <mergeCell ref="AC69:AE69"/>
    <mergeCell ref="H46:H52"/>
    <mergeCell ref="Q46:Q52"/>
    <mergeCell ref="Z46:Z52"/>
    <mergeCell ref="K45:L45"/>
    <mergeCell ref="M45:N45"/>
    <mergeCell ref="O45:P45"/>
    <mergeCell ref="Q34:Q40"/>
    <mergeCell ref="M21:N21"/>
    <mergeCell ref="O21:P21"/>
    <mergeCell ref="AC45:AE45"/>
    <mergeCell ref="K153:L153"/>
    <mergeCell ref="M153:N153"/>
    <mergeCell ref="O153:P153"/>
    <mergeCell ref="T153:U153"/>
    <mergeCell ref="V153:W153"/>
    <mergeCell ref="X153:Y15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7"/>
  <sheetViews>
    <sheetView workbookViewId="0">
      <selection activeCell="Q17" sqref="Q17"/>
    </sheetView>
  </sheetViews>
  <sheetFormatPr defaultColWidth="6.26953125" defaultRowHeight="14.5" x14ac:dyDescent="0.35"/>
  <cols>
    <col min="2" max="2" width="13.1796875" customWidth="1"/>
    <col min="3" max="3" width="10.26953125" customWidth="1"/>
    <col min="4" max="4" width="13" customWidth="1"/>
    <col min="6" max="6" width="13" customWidth="1"/>
    <col min="8" max="8" width="12.7265625" customWidth="1"/>
    <col min="10" max="10" width="4.453125" customWidth="1"/>
    <col min="11" max="11" width="14.1796875" customWidth="1"/>
    <col min="12" max="12" width="15.7265625" customWidth="1"/>
    <col min="13" max="13" width="18" customWidth="1"/>
    <col min="14" max="14" width="10.7265625" customWidth="1"/>
  </cols>
  <sheetData>
    <row r="1" spans="1:19" ht="18.5" x14ac:dyDescent="0.45">
      <c r="A1" s="594" t="str">
        <f>'Serti Lux'!A1:H1</f>
        <v xml:space="preserve">HASIL REKALIBRASI </v>
      </c>
      <c r="B1" s="594"/>
      <c r="C1" s="594"/>
      <c r="D1" s="594"/>
      <c r="E1" s="594"/>
      <c r="J1" s="589" t="s">
        <v>191</v>
      </c>
      <c r="K1" s="589"/>
      <c r="L1" s="589"/>
      <c r="M1" s="589"/>
      <c r="N1" s="589"/>
      <c r="O1" s="187"/>
      <c r="P1" s="187"/>
      <c r="Q1" s="187"/>
      <c r="R1" s="187"/>
      <c r="S1" s="187"/>
    </row>
    <row r="2" spans="1:19" x14ac:dyDescent="0.35">
      <c r="J2" s="595" t="s">
        <v>192</v>
      </c>
      <c r="K2" s="595"/>
      <c r="L2" s="595"/>
      <c r="M2" s="595"/>
      <c r="N2" s="595"/>
      <c r="O2" s="195"/>
      <c r="P2" s="195"/>
      <c r="Q2" s="195"/>
      <c r="R2" s="195"/>
      <c r="S2" s="195"/>
    </row>
    <row r="3" spans="1:19" x14ac:dyDescent="0.35">
      <c r="J3" s="193" t="s">
        <v>37</v>
      </c>
      <c r="K3" s="193" t="s">
        <v>193</v>
      </c>
      <c r="L3" s="193" t="s">
        <v>194</v>
      </c>
      <c r="M3" s="193" t="s">
        <v>195</v>
      </c>
      <c r="N3" s="193" t="s">
        <v>13</v>
      </c>
    </row>
    <row r="4" spans="1:19" x14ac:dyDescent="0.35">
      <c r="A4" t="s">
        <v>4</v>
      </c>
      <c r="C4" t="s">
        <v>10</v>
      </c>
      <c r="D4" s="40" t="str">
        <f>'LK isi'!C24</f>
        <v>Electrical Safety Analyzer</v>
      </c>
      <c r="E4" s="40"/>
      <c r="J4" s="193">
        <v>1</v>
      </c>
      <c r="K4" s="34">
        <v>3827025</v>
      </c>
      <c r="L4" s="34">
        <f>C28</f>
        <v>0.99969417475728151</v>
      </c>
      <c r="M4" s="34">
        <f>D28</f>
        <v>-9.8058252427165371E-2</v>
      </c>
      <c r="N4" s="34">
        <f>H22</f>
        <v>1.2</v>
      </c>
    </row>
    <row r="5" spans="1:19" x14ac:dyDescent="0.35">
      <c r="A5" t="s">
        <v>0</v>
      </c>
      <c r="C5" t="s">
        <v>10</v>
      </c>
      <c r="D5" s="40" t="str">
        <f>'LK isi'!K24</f>
        <v>Fluke</v>
      </c>
      <c r="E5" s="40"/>
      <c r="J5" s="193">
        <v>2</v>
      </c>
      <c r="K5" s="34">
        <v>4427051</v>
      </c>
      <c r="L5" s="34">
        <f>C42</f>
        <v>0.99940776699029099</v>
      </c>
      <c r="M5" s="34">
        <f>D42</f>
        <v>-0.19592233009703364</v>
      </c>
      <c r="N5" s="34">
        <f>H36</f>
        <v>1.2</v>
      </c>
    </row>
    <row r="6" spans="1:19" x14ac:dyDescent="0.35">
      <c r="A6" t="s">
        <v>50</v>
      </c>
      <c r="C6" t="s">
        <v>10</v>
      </c>
      <c r="D6" s="40" t="str">
        <f>'LK isi'!P24</f>
        <v>ESA 615</v>
      </c>
      <c r="E6" s="40"/>
      <c r="J6" s="193">
        <v>3</v>
      </c>
      <c r="K6" s="34">
        <v>2937056</v>
      </c>
      <c r="L6" s="34">
        <f>C59</f>
        <v>0.97828640776699061</v>
      </c>
      <c r="M6" s="34">
        <f>D59</f>
        <v>4.4078640776698421</v>
      </c>
      <c r="N6" s="34">
        <f>H53</f>
        <v>1.2</v>
      </c>
    </row>
    <row r="7" spans="1:19" x14ac:dyDescent="0.35">
      <c r="D7" s="40"/>
      <c r="E7" s="40"/>
      <c r="J7" s="193">
        <v>4</v>
      </c>
      <c r="K7" s="34">
        <v>2086729</v>
      </c>
      <c r="L7" s="34">
        <f>C76</f>
        <v>0.99990776699029138</v>
      </c>
      <c r="M7" s="34">
        <f>D76</f>
        <v>0.19407766990286746</v>
      </c>
      <c r="N7" s="34">
        <f>H70</f>
        <v>1.2</v>
      </c>
    </row>
    <row r="8" spans="1:19" x14ac:dyDescent="0.35">
      <c r="D8" s="40"/>
      <c r="E8" s="40"/>
      <c r="J8" s="193">
        <v>5</v>
      </c>
      <c r="K8" s="34">
        <v>3827021</v>
      </c>
      <c r="L8" s="34">
        <f>C93</f>
        <v>0.99528155339805857</v>
      </c>
      <c r="M8" s="34">
        <f>D93</f>
        <v>0.87281553398048572</v>
      </c>
      <c r="N8" s="34">
        <f>H87</f>
        <v>1.2</v>
      </c>
    </row>
    <row r="9" spans="1:19" x14ac:dyDescent="0.35">
      <c r="A9" t="s">
        <v>2</v>
      </c>
      <c r="C9" t="s">
        <v>10</v>
      </c>
      <c r="D9" s="40">
        <v>3827025</v>
      </c>
      <c r="E9" s="40"/>
      <c r="F9" s="200">
        <v>44994</v>
      </c>
      <c r="J9" s="590">
        <f>'LK isi'!T24</f>
        <v>4427051</v>
      </c>
      <c r="K9" s="590"/>
      <c r="L9" s="192">
        <f>VLOOKUP($J$9,$K$4:$N$8,2,FALSE)</f>
        <v>0.99940776699029099</v>
      </c>
      <c r="M9" s="192">
        <f>VLOOKUP($J$9,$K$4:$N$8,3,FALSE)</f>
        <v>-0.19592233009703364</v>
      </c>
      <c r="N9" s="192">
        <f>VLOOKUP($J$9,$K$4:$N$8,4,FALSE)</f>
        <v>1.2</v>
      </c>
    </row>
    <row r="10" spans="1:19" x14ac:dyDescent="0.35">
      <c r="D10" s="40">
        <v>4427051</v>
      </c>
      <c r="E10" s="40"/>
      <c r="F10" s="200">
        <v>44994</v>
      </c>
    </row>
    <row r="11" spans="1:19" x14ac:dyDescent="0.35">
      <c r="D11" s="40">
        <v>2937056</v>
      </c>
      <c r="E11" s="40"/>
      <c r="F11" s="200">
        <v>44994</v>
      </c>
    </row>
    <row r="12" spans="1:19" x14ac:dyDescent="0.35">
      <c r="D12" s="232">
        <v>2086729</v>
      </c>
      <c r="E12" s="231"/>
      <c r="F12" s="200">
        <v>44994</v>
      </c>
    </row>
    <row r="13" spans="1:19" x14ac:dyDescent="0.35">
      <c r="D13" s="233">
        <v>3827021</v>
      </c>
      <c r="E13" s="218"/>
      <c r="F13" s="200">
        <v>44994</v>
      </c>
    </row>
    <row r="14" spans="1:19" x14ac:dyDescent="0.35">
      <c r="D14" s="218"/>
      <c r="E14" s="218"/>
    </row>
    <row r="15" spans="1:19" s="20" customFormat="1" x14ac:dyDescent="0.35">
      <c r="A15" s="20" t="s">
        <v>81</v>
      </c>
      <c r="C15" s="20" t="s">
        <v>10</v>
      </c>
      <c r="D15" s="43">
        <v>2</v>
      </c>
      <c r="E15" s="44" t="str">
        <f>IF(D15=1,E17,IF(D15=2,E18,IF(D15=3,E19,"")))</f>
        <v>LK-032-IDN</v>
      </c>
    </row>
    <row r="16" spans="1:19" s="20" customFormat="1" x14ac:dyDescent="0.35">
      <c r="D16" s="45"/>
    </row>
    <row r="17" spans="1:8" s="20" customFormat="1" x14ac:dyDescent="0.35">
      <c r="D17" s="45">
        <v>1</v>
      </c>
      <c r="E17" s="20" t="s">
        <v>82</v>
      </c>
      <c r="G17" s="20" t="s">
        <v>91</v>
      </c>
    </row>
    <row r="18" spans="1:8" s="20" customFormat="1" x14ac:dyDescent="0.35">
      <c r="D18" s="45">
        <v>2</v>
      </c>
      <c r="E18" s="20" t="s">
        <v>88</v>
      </c>
      <c r="G18" s="20" t="s">
        <v>92</v>
      </c>
    </row>
    <row r="19" spans="1:8" s="20" customFormat="1" x14ac:dyDescent="0.35">
      <c r="D19" s="45">
        <v>3</v>
      </c>
      <c r="E19" s="20" t="s">
        <v>89</v>
      </c>
    </row>
    <row r="20" spans="1:8" ht="18.5" x14ac:dyDescent="0.35">
      <c r="A20" s="8"/>
      <c r="B20" s="19"/>
      <c r="C20" s="19"/>
      <c r="D20" s="19"/>
      <c r="E20" s="19"/>
      <c r="H20">
        <f>D9</f>
        <v>3827025</v>
      </c>
    </row>
    <row r="21" spans="1:8" s="30" customFormat="1" x14ac:dyDescent="0.35">
      <c r="A21" s="54" t="s">
        <v>37</v>
      </c>
      <c r="B21" s="578" t="s">
        <v>52</v>
      </c>
      <c r="C21" s="578"/>
      <c r="D21" s="578" t="s">
        <v>53</v>
      </c>
      <c r="E21" s="578"/>
      <c r="F21" s="578" t="s">
        <v>54</v>
      </c>
      <c r="G21" s="578"/>
      <c r="H21" s="46" t="s">
        <v>86</v>
      </c>
    </row>
    <row r="22" spans="1:8" s="20" customFormat="1" x14ac:dyDescent="0.35">
      <c r="A22" s="53">
        <v>1</v>
      </c>
      <c r="B22" s="47">
        <v>150</v>
      </c>
      <c r="C22" s="48" t="s">
        <v>106</v>
      </c>
      <c r="D22" s="49">
        <v>149.81</v>
      </c>
      <c r="E22" s="48" t="str">
        <f t="shared" ref="E22:G26" si="0">$C$22</f>
        <v>V</v>
      </c>
      <c r="F22" s="50">
        <f>D22-B22</f>
        <v>-0.18999999999999773</v>
      </c>
      <c r="G22" s="48" t="str">
        <f t="shared" si="0"/>
        <v>V</v>
      </c>
      <c r="H22" s="591">
        <v>1.2</v>
      </c>
    </row>
    <row r="23" spans="1:8" s="20" customFormat="1" x14ac:dyDescent="0.35">
      <c r="A23" s="53">
        <v>2</v>
      </c>
      <c r="B23" s="47">
        <v>180</v>
      </c>
      <c r="C23" s="48" t="str">
        <f>$C$22</f>
        <v>V</v>
      </c>
      <c r="D23" s="49">
        <v>179.86</v>
      </c>
      <c r="E23" s="48" t="str">
        <f t="shared" si="0"/>
        <v>V</v>
      </c>
      <c r="F23" s="50">
        <f t="shared" ref="F23:F26" si="1">D23-B23</f>
        <v>-0.13999999999998636</v>
      </c>
      <c r="G23" s="48" t="str">
        <f t="shared" si="0"/>
        <v>V</v>
      </c>
      <c r="H23" s="592"/>
    </row>
    <row r="24" spans="1:8" s="20" customFormat="1" x14ac:dyDescent="0.35">
      <c r="A24" s="53">
        <v>3</v>
      </c>
      <c r="B24" s="47">
        <v>200</v>
      </c>
      <c r="C24" s="48" t="str">
        <f t="shared" ref="C24:C26" si="2">$C$22</f>
        <v>V</v>
      </c>
      <c r="D24" s="49">
        <v>199.95</v>
      </c>
      <c r="E24" s="48" t="str">
        <f t="shared" si="0"/>
        <v>V</v>
      </c>
      <c r="F24" s="50">
        <f t="shared" si="1"/>
        <v>-5.0000000000011369E-2</v>
      </c>
      <c r="G24" s="48" t="str">
        <f t="shared" si="0"/>
        <v>V</v>
      </c>
      <c r="H24" s="592"/>
    </row>
    <row r="25" spans="1:8" s="20" customFormat="1" x14ac:dyDescent="0.35">
      <c r="A25" s="53">
        <v>4</v>
      </c>
      <c r="B25" s="47">
        <v>220</v>
      </c>
      <c r="C25" s="48" t="str">
        <f t="shared" si="2"/>
        <v>V</v>
      </c>
      <c r="D25" s="49">
        <v>219.81</v>
      </c>
      <c r="E25" s="48" t="str">
        <f t="shared" si="0"/>
        <v>V</v>
      </c>
      <c r="F25" s="50">
        <f t="shared" si="1"/>
        <v>-0.18999999999999773</v>
      </c>
      <c r="G25" s="48" t="str">
        <f t="shared" si="0"/>
        <v>V</v>
      </c>
      <c r="H25" s="592"/>
    </row>
    <row r="26" spans="1:8" s="20" customFormat="1" x14ac:dyDescent="0.35">
      <c r="A26" s="53">
        <v>5</v>
      </c>
      <c r="B26" s="47">
        <v>230</v>
      </c>
      <c r="C26" s="48" t="str">
        <f t="shared" si="2"/>
        <v>V</v>
      </c>
      <c r="D26" s="49">
        <v>229.78</v>
      </c>
      <c r="E26" s="48" t="str">
        <f t="shared" si="0"/>
        <v>V</v>
      </c>
      <c r="F26" s="50">
        <f t="shared" si="1"/>
        <v>-0.21999999999999886</v>
      </c>
      <c r="G26" s="48" t="str">
        <f t="shared" si="0"/>
        <v>V</v>
      </c>
      <c r="H26" s="593"/>
    </row>
    <row r="27" spans="1:8" s="20" customFormat="1" x14ac:dyDescent="0.35"/>
    <row r="28" spans="1:8" s="20" customFormat="1" x14ac:dyDescent="0.35">
      <c r="B28" s="51" t="s">
        <v>93</v>
      </c>
      <c r="C28" s="21">
        <f t="array" ref="C28:D32">LINEST(D22:D26,B22:B26,1,1)</f>
        <v>0.99969417475728151</v>
      </c>
      <c r="D28" s="21">
        <v>-9.8058252427165371E-2</v>
      </c>
      <c r="E28" s="52" t="s">
        <v>98</v>
      </c>
    </row>
    <row r="29" spans="1:8" s="20" customFormat="1" x14ac:dyDescent="0.35">
      <c r="B29" s="51" t="s">
        <v>94</v>
      </c>
      <c r="C29" s="21">
        <v>1.1897165973679248E-3</v>
      </c>
      <c r="D29" s="21">
        <v>0.2356720175153352</v>
      </c>
      <c r="E29" s="52" t="s">
        <v>99</v>
      </c>
    </row>
    <row r="30" spans="1:8" s="20" customFormat="1" x14ac:dyDescent="0.35">
      <c r="B30" s="51" t="s">
        <v>95</v>
      </c>
      <c r="C30" s="21">
        <v>0.99999575114287764</v>
      </c>
      <c r="D30" s="21">
        <v>7.63646082819599E-2</v>
      </c>
      <c r="E30" s="52" t="s">
        <v>100</v>
      </c>
    </row>
    <row r="31" spans="1:8" s="20" customFormat="1" x14ac:dyDescent="0.35">
      <c r="B31" s="51" t="s">
        <v>96</v>
      </c>
      <c r="C31" s="21">
        <v>706069.22449026583</v>
      </c>
      <c r="D31" s="21">
        <v>3</v>
      </c>
      <c r="E31" s="52" t="s">
        <v>101</v>
      </c>
    </row>
    <row r="32" spans="1:8" s="20" customFormat="1" x14ac:dyDescent="0.35">
      <c r="B32" s="51" t="s">
        <v>97</v>
      </c>
      <c r="C32" s="21">
        <v>4117.4803853398062</v>
      </c>
      <c r="D32" s="21">
        <v>1.7494660194171535E-2</v>
      </c>
      <c r="E32" s="52" t="s">
        <v>102</v>
      </c>
    </row>
    <row r="34" spans="1:8" x14ac:dyDescent="0.35">
      <c r="H34">
        <f>D10</f>
        <v>4427051</v>
      </c>
    </row>
    <row r="35" spans="1:8" x14ac:dyDescent="0.35">
      <c r="A35" s="54" t="s">
        <v>37</v>
      </c>
      <c r="B35" s="578" t="s">
        <v>52</v>
      </c>
      <c r="C35" s="578"/>
      <c r="D35" s="578" t="s">
        <v>53</v>
      </c>
      <c r="E35" s="578"/>
      <c r="F35" s="578" t="s">
        <v>54</v>
      </c>
      <c r="G35" s="578"/>
      <c r="H35" s="46" t="s">
        <v>86</v>
      </c>
    </row>
    <row r="36" spans="1:8" x14ac:dyDescent="0.35">
      <c r="A36" s="53">
        <v>1</v>
      </c>
      <c r="B36" s="177">
        <v>150</v>
      </c>
      <c r="C36" s="21" t="s">
        <v>106</v>
      </c>
      <c r="D36" s="60">
        <v>149.72</v>
      </c>
      <c r="E36" s="21" t="str">
        <f t="shared" ref="E36:G40" si="3">$C$22</f>
        <v>V</v>
      </c>
      <c r="F36" s="186">
        <f>D36-B36</f>
        <v>-0.28000000000000114</v>
      </c>
      <c r="G36" s="21" t="str">
        <f t="shared" si="3"/>
        <v>V</v>
      </c>
      <c r="H36" s="587">
        <v>1.2</v>
      </c>
    </row>
    <row r="37" spans="1:8" x14ac:dyDescent="0.35">
      <c r="A37" s="53">
        <v>2</v>
      </c>
      <c r="B37" s="177">
        <v>180</v>
      </c>
      <c r="C37" s="21" t="str">
        <f>$C$22</f>
        <v>V</v>
      </c>
      <c r="D37" s="60">
        <v>179.71</v>
      </c>
      <c r="E37" s="21" t="str">
        <f t="shared" si="3"/>
        <v>V</v>
      </c>
      <c r="F37" s="186">
        <f t="shared" ref="F37:F40" si="4">D37-B37</f>
        <v>-0.28999999999999204</v>
      </c>
      <c r="G37" s="21" t="str">
        <f t="shared" si="3"/>
        <v>V</v>
      </c>
      <c r="H37" s="587"/>
    </row>
    <row r="38" spans="1:8" x14ac:dyDescent="0.35">
      <c r="A38" s="53">
        <v>3</v>
      </c>
      <c r="B38" s="177">
        <v>200</v>
      </c>
      <c r="C38" s="21" t="str">
        <f t="shared" ref="C38:C40" si="5">$C$22</f>
        <v>V</v>
      </c>
      <c r="D38" s="60">
        <v>199.63</v>
      </c>
      <c r="E38" s="21" t="str">
        <f t="shared" si="3"/>
        <v>V</v>
      </c>
      <c r="F38" s="186">
        <f t="shared" si="4"/>
        <v>-0.37000000000000455</v>
      </c>
      <c r="G38" s="21" t="str">
        <f t="shared" si="3"/>
        <v>V</v>
      </c>
      <c r="H38" s="587"/>
    </row>
    <row r="39" spans="1:8" x14ac:dyDescent="0.35">
      <c r="A39" s="53">
        <v>4</v>
      </c>
      <c r="B39" s="177">
        <v>220</v>
      </c>
      <c r="C39" s="21" t="str">
        <f t="shared" si="5"/>
        <v>V</v>
      </c>
      <c r="D39" s="60">
        <v>219.74</v>
      </c>
      <c r="E39" s="21" t="str">
        <f t="shared" si="3"/>
        <v>V</v>
      </c>
      <c r="F39" s="186">
        <f t="shared" si="4"/>
        <v>-0.25999999999999091</v>
      </c>
      <c r="G39" s="21" t="str">
        <f t="shared" si="3"/>
        <v>V</v>
      </c>
      <c r="H39" s="587"/>
    </row>
    <row r="40" spans="1:8" x14ac:dyDescent="0.35">
      <c r="A40" s="53">
        <v>5</v>
      </c>
      <c r="B40" s="177">
        <v>230</v>
      </c>
      <c r="C40" s="21" t="str">
        <f t="shared" si="5"/>
        <v>V</v>
      </c>
      <c r="D40" s="60">
        <v>229.64</v>
      </c>
      <c r="E40" s="21" t="str">
        <f t="shared" si="3"/>
        <v>V</v>
      </c>
      <c r="F40" s="186">
        <f t="shared" si="4"/>
        <v>-0.36000000000001364</v>
      </c>
      <c r="G40" s="21" t="str">
        <f t="shared" si="3"/>
        <v>V</v>
      </c>
      <c r="H40" s="587"/>
    </row>
    <row r="41" spans="1:8" x14ac:dyDescent="0.35">
      <c r="A41" s="20"/>
      <c r="B41" s="20"/>
      <c r="C41" s="20"/>
      <c r="D41" s="20"/>
      <c r="E41" s="20"/>
      <c r="F41" s="20"/>
      <c r="G41" s="20"/>
      <c r="H41" s="20"/>
    </row>
    <row r="42" spans="1:8" x14ac:dyDescent="0.35">
      <c r="A42" s="20"/>
      <c r="B42" s="51" t="s">
        <v>93</v>
      </c>
      <c r="C42" s="21">
        <f t="array" ref="C42:D46">LINEST(D36:D40,B36:B40,1,1)</f>
        <v>0.99940776699029099</v>
      </c>
      <c r="D42" s="21">
        <v>-0.19592233009703364</v>
      </c>
      <c r="E42" s="52" t="s">
        <v>98</v>
      </c>
      <c r="F42" s="20"/>
      <c r="G42" s="20"/>
      <c r="H42" s="20"/>
    </row>
    <row r="43" spans="1:8" x14ac:dyDescent="0.35">
      <c r="A43" s="20"/>
      <c r="B43" s="51" t="s">
        <v>94</v>
      </c>
      <c r="C43" s="21">
        <v>8.2609892761887542E-4</v>
      </c>
      <c r="D43" s="21">
        <v>0.16364267033839405</v>
      </c>
      <c r="E43" s="52" t="s">
        <v>99</v>
      </c>
      <c r="F43" s="20"/>
      <c r="G43" s="20"/>
      <c r="H43" s="20"/>
    </row>
    <row r="44" spans="1:8" x14ac:dyDescent="0.35">
      <c r="A44" s="20"/>
      <c r="B44" s="51" t="s">
        <v>95</v>
      </c>
      <c r="C44" s="21">
        <v>0.99999795025875193</v>
      </c>
      <c r="D44" s="21">
        <v>5.3024998683996127E-2</v>
      </c>
      <c r="E44" s="52" t="s">
        <v>100</v>
      </c>
      <c r="F44" s="20"/>
      <c r="G44" s="20"/>
      <c r="H44" s="20"/>
    </row>
    <row r="45" spans="1:8" x14ac:dyDescent="0.35">
      <c r="A45" s="20"/>
      <c r="B45" s="51" t="s">
        <v>96</v>
      </c>
      <c r="C45" s="21">
        <v>1463596.3703033999</v>
      </c>
      <c r="D45" s="21">
        <v>3</v>
      </c>
      <c r="E45" s="52" t="s">
        <v>101</v>
      </c>
      <c r="F45" s="20"/>
      <c r="G45" s="20"/>
      <c r="H45" s="20"/>
    </row>
    <row r="46" spans="1:8" x14ac:dyDescent="0.35">
      <c r="A46" s="20"/>
      <c r="B46" s="51" t="s">
        <v>97</v>
      </c>
      <c r="C46" s="21">
        <v>4115.1214450485431</v>
      </c>
      <c r="D46" s="21">
        <v>8.4349514563133721E-3</v>
      </c>
      <c r="E46" s="52" t="s">
        <v>102</v>
      </c>
      <c r="F46" s="20"/>
      <c r="G46" s="20"/>
      <c r="H46" s="20"/>
    </row>
    <row r="51" spans="1:8" x14ac:dyDescent="0.35">
      <c r="H51">
        <f>D11</f>
        <v>2937056</v>
      </c>
    </row>
    <row r="52" spans="1:8" x14ac:dyDescent="0.35">
      <c r="A52" s="54" t="s">
        <v>37</v>
      </c>
      <c r="B52" s="578" t="s">
        <v>52</v>
      </c>
      <c r="C52" s="578"/>
      <c r="D52" s="578" t="s">
        <v>53</v>
      </c>
      <c r="E52" s="578"/>
      <c r="F52" s="578" t="s">
        <v>54</v>
      </c>
      <c r="G52" s="578"/>
      <c r="H52" s="46" t="s">
        <v>86</v>
      </c>
    </row>
    <row r="53" spans="1:8" x14ac:dyDescent="0.35">
      <c r="A53" s="53">
        <v>1</v>
      </c>
      <c r="B53" s="177">
        <v>150</v>
      </c>
      <c r="C53" s="21" t="s">
        <v>106</v>
      </c>
      <c r="D53" s="60">
        <v>151.16999999999999</v>
      </c>
      <c r="E53" s="21" t="str">
        <f t="shared" ref="E53:G57" si="6">$C$22</f>
        <v>V</v>
      </c>
      <c r="F53" s="186">
        <f>D53-B53</f>
        <v>1.1699999999999875</v>
      </c>
      <c r="G53" s="21" t="str">
        <f t="shared" si="6"/>
        <v>V</v>
      </c>
      <c r="H53" s="587">
        <v>1.2</v>
      </c>
    </row>
    <row r="54" spans="1:8" x14ac:dyDescent="0.35">
      <c r="A54" s="53">
        <v>2</v>
      </c>
      <c r="B54" s="177">
        <v>180</v>
      </c>
      <c r="C54" s="21" t="str">
        <f>$C$22</f>
        <v>V</v>
      </c>
      <c r="D54" s="60">
        <v>180.42</v>
      </c>
      <c r="E54" s="21" t="str">
        <f t="shared" si="6"/>
        <v>V</v>
      </c>
      <c r="F54" s="186">
        <f t="shared" ref="F54:F57" si="7">D54-B54</f>
        <v>0.41999999999998749</v>
      </c>
      <c r="G54" s="21" t="str">
        <f t="shared" si="6"/>
        <v>V</v>
      </c>
      <c r="H54" s="587"/>
    </row>
    <row r="55" spans="1:8" x14ac:dyDescent="0.35">
      <c r="A55" s="53">
        <v>3</v>
      </c>
      <c r="B55" s="177">
        <v>200</v>
      </c>
      <c r="C55" s="21" t="str">
        <f t="shared" ref="C55:C57" si="8">$C$22</f>
        <v>V</v>
      </c>
      <c r="D55" s="60">
        <v>200.32</v>
      </c>
      <c r="E55" s="21" t="str">
        <f t="shared" si="6"/>
        <v>V</v>
      </c>
      <c r="F55" s="186">
        <f t="shared" si="7"/>
        <v>0.31999999999999318</v>
      </c>
      <c r="G55" s="21" t="str">
        <f t="shared" si="6"/>
        <v>V</v>
      </c>
      <c r="H55" s="587"/>
    </row>
    <row r="56" spans="1:8" x14ac:dyDescent="0.35">
      <c r="A56" s="53">
        <v>4</v>
      </c>
      <c r="B56" s="177">
        <v>220</v>
      </c>
      <c r="C56" s="21" t="str">
        <f t="shared" si="8"/>
        <v>V</v>
      </c>
      <c r="D56" s="60">
        <v>219.11</v>
      </c>
      <c r="E56" s="21" t="str">
        <f t="shared" si="6"/>
        <v>V</v>
      </c>
      <c r="F56" s="186">
        <f t="shared" si="7"/>
        <v>-0.88999999999998636</v>
      </c>
      <c r="G56" s="21" t="str">
        <f t="shared" si="6"/>
        <v>V</v>
      </c>
      <c r="H56" s="587"/>
    </row>
    <row r="57" spans="1:8" x14ac:dyDescent="0.35">
      <c r="A57" s="53">
        <v>5</v>
      </c>
      <c r="B57" s="177">
        <v>230</v>
      </c>
      <c r="C57" s="21" t="str">
        <f t="shared" si="8"/>
        <v>V</v>
      </c>
      <c r="D57" s="60">
        <v>229.74</v>
      </c>
      <c r="E57" s="21" t="str">
        <f t="shared" si="6"/>
        <v>V</v>
      </c>
      <c r="F57" s="186">
        <f t="shared" si="7"/>
        <v>-0.25999999999999091</v>
      </c>
      <c r="G57" s="21" t="str">
        <f t="shared" si="6"/>
        <v>V</v>
      </c>
      <c r="H57" s="587"/>
    </row>
    <row r="58" spans="1:8" x14ac:dyDescent="0.35">
      <c r="A58" s="20"/>
      <c r="B58" s="20"/>
      <c r="C58" s="20"/>
      <c r="D58" s="20"/>
      <c r="E58" s="20"/>
      <c r="F58" s="20"/>
      <c r="G58" s="20"/>
      <c r="H58" s="20"/>
    </row>
    <row r="59" spans="1:8" x14ac:dyDescent="0.35">
      <c r="A59" s="20"/>
      <c r="B59" s="51" t="s">
        <v>93</v>
      </c>
      <c r="C59" s="21">
        <f t="array" ref="C59:D63">LINEST(D53:D57,B53:B57,1,1)</f>
        <v>0.97828640776699061</v>
      </c>
      <c r="D59" s="21">
        <v>4.4078640776698421</v>
      </c>
      <c r="E59" s="52" t="s">
        <v>98</v>
      </c>
      <c r="F59" s="20"/>
      <c r="G59" s="20"/>
      <c r="H59" s="20"/>
    </row>
    <row r="60" spans="1:8" x14ac:dyDescent="0.35">
      <c r="A60" s="20"/>
      <c r="B60" s="51" t="s">
        <v>94</v>
      </c>
      <c r="C60" s="21">
        <v>6.0297404697281023E-3</v>
      </c>
      <c r="D60" s="21">
        <v>1.1944366454486168</v>
      </c>
      <c r="E60" s="52" t="s">
        <v>99</v>
      </c>
      <c r="F60" s="20"/>
      <c r="G60" s="20"/>
      <c r="H60" s="20"/>
    </row>
    <row r="61" spans="1:8" x14ac:dyDescent="0.35">
      <c r="A61" s="20"/>
      <c r="B61" s="51" t="s">
        <v>95</v>
      </c>
      <c r="C61" s="21">
        <v>0.99988604406155046</v>
      </c>
      <c r="D61" s="21">
        <v>0.38703231511720149</v>
      </c>
      <c r="E61" s="52" t="s">
        <v>100</v>
      </c>
      <c r="F61" s="20"/>
      <c r="G61" s="20"/>
      <c r="H61" s="20"/>
    </row>
    <row r="62" spans="1:8" x14ac:dyDescent="0.35">
      <c r="A62" s="20"/>
      <c r="B62" s="51" t="s">
        <v>96</v>
      </c>
      <c r="C62" s="21">
        <v>26322.964586104234</v>
      </c>
      <c r="D62" s="21">
        <v>3</v>
      </c>
      <c r="E62" s="52" t="s">
        <v>101</v>
      </c>
      <c r="F62" s="20"/>
      <c r="G62" s="20"/>
      <c r="H62" s="20"/>
    </row>
    <row r="63" spans="1:8" x14ac:dyDescent="0.35">
      <c r="A63" s="20"/>
      <c r="B63" s="51" t="s">
        <v>97</v>
      </c>
      <c r="C63" s="21">
        <v>3943.022497961168</v>
      </c>
      <c r="D63" s="21">
        <v>0.44938203883494232</v>
      </c>
      <c r="E63" s="52" t="s">
        <v>102</v>
      </c>
      <c r="F63" s="20"/>
      <c r="G63" s="20"/>
      <c r="H63" s="20"/>
    </row>
    <row r="68" spans="1:8" x14ac:dyDescent="0.35">
      <c r="H68">
        <f>D12</f>
        <v>2086729</v>
      </c>
    </row>
    <row r="69" spans="1:8" x14ac:dyDescent="0.35">
      <c r="A69" s="250" t="s">
        <v>37</v>
      </c>
      <c r="B69" s="588" t="s">
        <v>52</v>
      </c>
      <c r="C69" s="588"/>
      <c r="D69" s="588" t="s">
        <v>53</v>
      </c>
      <c r="E69" s="588"/>
      <c r="F69" s="588" t="s">
        <v>54</v>
      </c>
      <c r="G69" s="588"/>
      <c r="H69" s="251" t="s">
        <v>86</v>
      </c>
    </row>
    <row r="70" spans="1:8" x14ac:dyDescent="0.35">
      <c r="A70" s="53">
        <v>1</v>
      </c>
      <c r="B70" s="177">
        <v>150</v>
      </c>
      <c r="C70" s="21" t="s">
        <v>106</v>
      </c>
      <c r="D70" s="60">
        <v>150.16999999999999</v>
      </c>
      <c r="E70" s="21" t="str">
        <f t="shared" ref="E70:G74" si="9">$C$22</f>
        <v>V</v>
      </c>
      <c r="F70" s="53">
        <f>D70-B70</f>
        <v>0.16999999999998749</v>
      </c>
      <c r="G70" s="21" t="str">
        <f t="shared" si="9"/>
        <v>V</v>
      </c>
      <c r="H70" s="587">
        <v>1.2</v>
      </c>
    </row>
    <row r="71" spans="1:8" x14ac:dyDescent="0.35">
      <c r="A71" s="53">
        <v>2</v>
      </c>
      <c r="B71" s="177">
        <v>180</v>
      </c>
      <c r="C71" s="21" t="str">
        <f>$C$22</f>
        <v>V</v>
      </c>
      <c r="D71" s="60">
        <v>180.22</v>
      </c>
      <c r="E71" s="21" t="str">
        <f t="shared" si="9"/>
        <v>V</v>
      </c>
      <c r="F71" s="53">
        <f t="shared" ref="F71:F74" si="10">D71-B71</f>
        <v>0.21999999999999886</v>
      </c>
      <c r="G71" s="21" t="str">
        <f t="shared" si="9"/>
        <v>V</v>
      </c>
      <c r="H71" s="587"/>
    </row>
    <row r="72" spans="1:8" x14ac:dyDescent="0.35">
      <c r="A72" s="53">
        <v>3</v>
      </c>
      <c r="B72" s="177">
        <v>200</v>
      </c>
      <c r="C72" s="21" t="str">
        <f t="shared" ref="C72:C74" si="11">$C$22</f>
        <v>V</v>
      </c>
      <c r="D72" s="60">
        <v>200.12</v>
      </c>
      <c r="E72" s="21" t="str">
        <f t="shared" si="9"/>
        <v>V</v>
      </c>
      <c r="F72" s="53">
        <f t="shared" si="10"/>
        <v>0.12000000000000455</v>
      </c>
      <c r="G72" s="21" t="str">
        <f t="shared" si="9"/>
        <v>V</v>
      </c>
      <c r="H72" s="587"/>
    </row>
    <row r="73" spans="1:8" x14ac:dyDescent="0.35">
      <c r="A73" s="53">
        <v>4</v>
      </c>
      <c r="B73" s="177">
        <v>220</v>
      </c>
      <c r="C73" s="21" t="str">
        <f t="shared" si="11"/>
        <v>V</v>
      </c>
      <c r="D73" s="60">
        <v>220.21</v>
      </c>
      <c r="E73" s="21" t="str">
        <f t="shared" si="9"/>
        <v>V</v>
      </c>
      <c r="F73" s="53">
        <f t="shared" si="10"/>
        <v>0.21000000000000796</v>
      </c>
      <c r="G73" s="21" t="str">
        <f t="shared" si="9"/>
        <v>V</v>
      </c>
      <c r="H73" s="587"/>
    </row>
    <row r="74" spans="1:8" x14ac:dyDescent="0.35">
      <c r="A74" s="53">
        <v>5</v>
      </c>
      <c r="B74" s="177">
        <v>230</v>
      </c>
      <c r="C74" s="21" t="str">
        <f t="shared" si="11"/>
        <v>V</v>
      </c>
      <c r="D74" s="60">
        <v>230.16</v>
      </c>
      <c r="E74" s="21" t="str">
        <f t="shared" si="9"/>
        <v>V</v>
      </c>
      <c r="F74" s="53">
        <f t="shared" si="10"/>
        <v>0.15999999999999659</v>
      </c>
      <c r="G74" s="21" t="str">
        <f t="shared" si="9"/>
        <v>V</v>
      </c>
      <c r="H74" s="587"/>
    </row>
    <row r="75" spans="1:8" x14ac:dyDescent="0.35">
      <c r="A75" s="20"/>
      <c r="B75" s="20"/>
      <c r="C75" s="20"/>
      <c r="D75" s="20"/>
      <c r="E75" s="20"/>
      <c r="F75" s="20"/>
      <c r="G75" s="20"/>
      <c r="H75" s="20"/>
    </row>
    <row r="76" spans="1:8" x14ac:dyDescent="0.35">
      <c r="A76" s="20"/>
      <c r="B76" s="51" t="s">
        <v>93</v>
      </c>
      <c r="C76" s="21">
        <f t="array" ref="C76:D80">LINEST(D70:D74,B70:B74,1,1)</f>
        <v>0.99990776699029138</v>
      </c>
      <c r="D76" s="21">
        <v>0.19407766990286746</v>
      </c>
      <c r="E76" s="52" t="s">
        <v>98</v>
      </c>
      <c r="F76" s="20"/>
      <c r="G76" s="20"/>
      <c r="H76" s="20"/>
    </row>
    <row r="77" spans="1:8" x14ac:dyDescent="0.35">
      <c r="A77" s="20"/>
      <c r="B77" s="51" t="s">
        <v>94</v>
      </c>
      <c r="C77" s="21">
        <v>7.243427696343905E-4</v>
      </c>
      <c r="D77" s="21">
        <v>0.14348570262031113</v>
      </c>
      <c r="E77" s="52" t="s">
        <v>99</v>
      </c>
      <c r="F77" s="20"/>
      <c r="G77" s="20"/>
      <c r="H77" s="20"/>
    </row>
    <row r="78" spans="1:8" x14ac:dyDescent="0.35">
      <c r="A78" s="20"/>
      <c r="B78" s="51" t="s">
        <v>95</v>
      </c>
      <c r="C78" s="21">
        <v>0.99999842569474173</v>
      </c>
      <c r="D78" s="21">
        <v>4.6493553159949755E-2</v>
      </c>
      <c r="E78" s="52" t="s">
        <v>100</v>
      </c>
      <c r="F78" s="20"/>
      <c r="G78" s="20"/>
      <c r="H78" s="20"/>
    </row>
    <row r="79" spans="1:8" x14ac:dyDescent="0.35">
      <c r="A79" s="20"/>
      <c r="B79" s="51" t="s">
        <v>96</v>
      </c>
      <c r="C79" s="21">
        <v>1905599.4772511325</v>
      </c>
      <c r="D79" s="21">
        <v>3</v>
      </c>
      <c r="E79" s="52" t="s">
        <v>101</v>
      </c>
      <c r="F79" s="20"/>
      <c r="G79" s="20"/>
      <c r="H79" s="20"/>
    </row>
    <row r="80" spans="1:8" x14ac:dyDescent="0.35">
      <c r="A80" s="20"/>
      <c r="B80" s="51" t="s">
        <v>97</v>
      </c>
      <c r="C80" s="21">
        <v>4119.240035048545</v>
      </c>
      <c r="D80" s="21">
        <v>6.4849514563112215E-3</v>
      </c>
      <c r="E80" s="52" t="s">
        <v>102</v>
      </c>
      <c r="F80" s="20"/>
      <c r="G80" s="20"/>
      <c r="H80" s="20"/>
    </row>
    <row r="85" spans="1:8" x14ac:dyDescent="0.35">
      <c r="H85">
        <f>D13</f>
        <v>3827021</v>
      </c>
    </row>
    <row r="86" spans="1:8" x14ac:dyDescent="0.35">
      <c r="A86" s="250" t="s">
        <v>37</v>
      </c>
      <c r="B86" s="588" t="s">
        <v>52</v>
      </c>
      <c r="C86" s="588"/>
      <c r="D86" s="588" t="s">
        <v>53</v>
      </c>
      <c r="E86" s="588"/>
      <c r="F86" s="588" t="s">
        <v>54</v>
      </c>
      <c r="G86" s="588"/>
      <c r="H86" s="251" t="s">
        <v>86</v>
      </c>
    </row>
    <row r="87" spans="1:8" x14ac:dyDescent="0.35">
      <c r="A87" s="53">
        <v>1</v>
      </c>
      <c r="B87" s="177">
        <v>150</v>
      </c>
      <c r="C87" s="21" t="s">
        <v>106</v>
      </c>
      <c r="D87" s="60">
        <v>150.13999999999999</v>
      </c>
      <c r="E87" s="21" t="str">
        <f t="shared" ref="E87:G91" si="12">$C$22</f>
        <v>V</v>
      </c>
      <c r="F87" s="186">
        <f>D87-B87</f>
        <v>0.13999999999998636</v>
      </c>
      <c r="G87" s="21" t="str">
        <f t="shared" si="12"/>
        <v>V</v>
      </c>
      <c r="H87" s="587">
        <v>1.2</v>
      </c>
    </row>
    <row r="88" spans="1:8" x14ac:dyDescent="0.35">
      <c r="A88" s="53">
        <v>2</v>
      </c>
      <c r="B88" s="177">
        <v>180</v>
      </c>
      <c r="C88" s="21" t="str">
        <f>$C$22</f>
        <v>V</v>
      </c>
      <c r="D88" s="60">
        <v>180.04</v>
      </c>
      <c r="E88" s="21" t="str">
        <f t="shared" si="12"/>
        <v>V</v>
      </c>
      <c r="F88" s="186">
        <f t="shared" ref="F88:F91" si="13">D88-B88</f>
        <v>3.9999999999992042E-2</v>
      </c>
      <c r="G88" s="21" t="str">
        <f t="shared" si="12"/>
        <v>V</v>
      </c>
      <c r="H88" s="587"/>
    </row>
    <row r="89" spans="1:8" x14ac:dyDescent="0.35">
      <c r="A89" s="53">
        <v>3</v>
      </c>
      <c r="B89" s="177">
        <v>200</v>
      </c>
      <c r="C89" s="21" t="str">
        <f t="shared" ref="C89:C91" si="14">$C$22</f>
        <v>V</v>
      </c>
      <c r="D89" s="60">
        <v>200.04</v>
      </c>
      <c r="E89" s="21" t="str">
        <f t="shared" si="12"/>
        <v>V</v>
      </c>
      <c r="F89" s="186">
        <f t="shared" si="13"/>
        <v>3.9999999999992042E-2</v>
      </c>
      <c r="G89" s="21" t="str">
        <f t="shared" si="12"/>
        <v>V</v>
      </c>
      <c r="H89" s="587"/>
    </row>
    <row r="90" spans="1:8" x14ac:dyDescent="0.35">
      <c r="A90" s="53">
        <v>4</v>
      </c>
      <c r="B90" s="177">
        <v>220</v>
      </c>
      <c r="C90" s="21" t="str">
        <f t="shared" si="14"/>
        <v>V</v>
      </c>
      <c r="D90" s="60">
        <v>219.62</v>
      </c>
      <c r="E90" s="21" t="str">
        <f t="shared" si="12"/>
        <v>V</v>
      </c>
      <c r="F90" s="186">
        <f t="shared" si="13"/>
        <v>-0.37999999999999545</v>
      </c>
      <c r="G90" s="21" t="str">
        <f t="shared" si="12"/>
        <v>V</v>
      </c>
      <c r="H90" s="587"/>
    </row>
    <row r="91" spans="1:8" x14ac:dyDescent="0.35">
      <c r="A91" s="53">
        <v>5</v>
      </c>
      <c r="B91" s="177">
        <v>230</v>
      </c>
      <c r="C91" s="21" t="str">
        <f t="shared" si="14"/>
        <v>V</v>
      </c>
      <c r="D91" s="60">
        <v>229.9</v>
      </c>
      <c r="E91" s="21" t="str">
        <f t="shared" si="12"/>
        <v>V</v>
      </c>
      <c r="F91" s="186">
        <f t="shared" si="13"/>
        <v>-9.9999999999994316E-2</v>
      </c>
      <c r="G91" s="21" t="str">
        <f t="shared" si="12"/>
        <v>V</v>
      </c>
      <c r="H91" s="587"/>
    </row>
    <row r="92" spans="1:8" x14ac:dyDescent="0.35">
      <c r="A92" s="20"/>
      <c r="B92" s="20"/>
      <c r="C92" s="20"/>
      <c r="D92" s="20"/>
      <c r="E92" s="20"/>
      <c r="F92" s="20"/>
      <c r="G92" s="20"/>
      <c r="H92" s="20"/>
    </row>
    <row r="93" spans="1:8" x14ac:dyDescent="0.35">
      <c r="A93" s="20"/>
      <c r="B93" s="51" t="s">
        <v>93</v>
      </c>
      <c r="C93" s="21">
        <f t="array" ref="C93:D97">LINEST(D87:D91,B87:B91,1,1)</f>
        <v>0.99528155339805857</v>
      </c>
      <c r="D93" s="21">
        <v>0.87281553398048572</v>
      </c>
      <c r="E93" s="52" t="s">
        <v>98</v>
      </c>
      <c r="F93" s="20"/>
      <c r="G93" s="20"/>
      <c r="H93" s="20"/>
    </row>
    <row r="94" spans="1:8" x14ac:dyDescent="0.35">
      <c r="A94" s="20"/>
      <c r="B94" s="51" t="s">
        <v>94</v>
      </c>
      <c r="C94" s="21">
        <v>2.412772748273184E-3</v>
      </c>
      <c r="D94" s="21">
        <v>0.47794829680409356</v>
      </c>
      <c r="E94" s="52" t="s">
        <v>99</v>
      </c>
      <c r="F94" s="20"/>
      <c r="G94" s="20"/>
      <c r="H94" s="20"/>
    </row>
    <row r="95" spans="1:8" x14ac:dyDescent="0.35">
      <c r="A95" s="20"/>
      <c r="B95" s="51" t="s">
        <v>95</v>
      </c>
      <c r="C95" s="21">
        <v>0.99998236991013123</v>
      </c>
      <c r="D95" s="21">
        <v>0.15486919002634483</v>
      </c>
      <c r="E95" s="52" t="s">
        <v>100</v>
      </c>
      <c r="F95" s="20"/>
      <c r="G95" s="20"/>
      <c r="H95" s="20"/>
    </row>
    <row r="96" spans="1:8" x14ac:dyDescent="0.35">
      <c r="A96" s="20"/>
      <c r="B96" s="51" t="s">
        <v>96</v>
      </c>
      <c r="C96" s="21">
        <v>170160.62493524296</v>
      </c>
      <c r="D96" s="21">
        <v>3</v>
      </c>
      <c r="E96" s="52" t="s">
        <v>101</v>
      </c>
      <c r="F96" s="20"/>
      <c r="G96" s="20"/>
      <c r="H96" s="20"/>
    </row>
    <row r="97" spans="1:8" x14ac:dyDescent="0.35">
      <c r="A97" s="20"/>
      <c r="B97" s="51" t="s">
        <v>97</v>
      </c>
      <c r="C97" s="21">
        <v>4081.2117266019441</v>
      </c>
      <c r="D97" s="21">
        <v>7.1953398058248325E-2</v>
      </c>
      <c r="E97" s="52" t="s">
        <v>102</v>
      </c>
      <c r="F97" s="20"/>
      <c r="G97" s="20"/>
      <c r="H97" s="20"/>
    </row>
  </sheetData>
  <mergeCells count="24">
    <mergeCell ref="B52:C52"/>
    <mergeCell ref="D52:E52"/>
    <mergeCell ref="F52:G52"/>
    <mergeCell ref="H53:H57"/>
    <mergeCell ref="J2:N2"/>
    <mergeCell ref="H36:H40"/>
    <mergeCell ref="J1:N1"/>
    <mergeCell ref="J9:K9"/>
    <mergeCell ref="B35:C35"/>
    <mergeCell ref="D35:E35"/>
    <mergeCell ref="F35:G35"/>
    <mergeCell ref="H22:H26"/>
    <mergeCell ref="A1:E1"/>
    <mergeCell ref="B21:C21"/>
    <mergeCell ref="D21:E21"/>
    <mergeCell ref="F21:G21"/>
    <mergeCell ref="H87:H91"/>
    <mergeCell ref="B69:C69"/>
    <mergeCell ref="D69:E69"/>
    <mergeCell ref="F69:G69"/>
    <mergeCell ref="H70:H74"/>
    <mergeCell ref="B86:C86"/>
    <mergeCell ref="D86:E86"/>
    <mergeCell ref="F86:G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V199"/>
  <sheetViews>
    <sheetView workbookViewId="0">
      <selection activeCell="F7" sqref="F7"/>
    </sheetView>
  </sheetViews>
  <sheetFormatPr defaultColWidth="10.54296875" defaultRowHeight="14.5" x14ac:dyDescent="0.35"/>
  <cols>
    <col min="1" max="1" width="3.26953125" customWidth="1"/>
    <col min="2" max="2" width="2.7265625" customWidth="1"/>
    <col min="3" max="3" width="47.1796875" customWidth="1"/>
    <col min="6" max="6" width="11.54296875" bestFit="1" customWidth="1"/>
    <col min="13" max="13" width="11.1796875" bestFit="1" customWidth="1"/>
    <col min="15" max="17" width="11.1796875" bestFit="1" customWidth="1"/>
  </cols>
  <sheetData>
    <row r="1" spans="3:22" ht="23.5" x14ac:dyDescent="0.35">
      <c r="C1" s="596" t="s">
        <v>87</v>
      </c>
      <c r="D1" s="596"/>
      <c r="E1" s="596"/>
      <c r="F1" s="596"/>
      <c r="G1" s="596"/>
      <c r="H1" s="596"/>
      <c r="I1" s="596"/>
      <c r="J1" s="596"/>
      <c r="K1" s="596"/>
      <c r="L1" s="596"/>
      <c r="M1" s="596"/>
    </row>
    <row r="2" spans="3:22" ht="23.5" x14ac:dyDescent="0.35">
      <c r="C2" s="596" t="s">
        <v>160</v>
      </c>
      <c r="D2" s="596"/>
      <c r="E2" s="596"/>
      <c r="F2" s="596"/>
      <c r="G2" s="596"/>
      <c r="H2" s="596"/>
      <c r="I2" s="596"/>
      <c r="J2" s="596"/>
      <c r="K2" s="596"/>
      <c r="L2" s="596"/>
      <c r="M2" s="596"/>
      <c r="O2" s="1"/>
      <c r="P2" s="1"/>
      <c r="Q2" s="238"/>
      <c r="R2" s="1"/>
      <c r="S2" s="1"/>
      <c r="T2" s="1"/>
      <c r="U2" s="1"/>
      <c r="V2" s="1"/>
    </row>
    <row r="3" spans="3:22" ht="15" customHeight="1" x14ac:dyDescent="0.35">
      <c r="C3" t="s">
        <v>235</v>
      </c>
      <c r="D3" s="1">
        <v>6</v>
      </c>
      <c r="G3" s="64"/>
      <c r="J3" s="1"/>
      <c r="K3" s="239"/>
      <c r="L3" s="1"/>
      <c r="M3" s="1"/>
    </row>
    <row r="4" spans="3:22" ht="15" customHeight="1" x14ac:dyDescent="0.35">
      <c r="C4" t="s">
        <v>79</v>
      </c>
      <c r="D4" s="1">
        <v>0</v>
      </c>
      <c r="E4" s="7"/>
      <c r="G4" s="1"/>
      <c r="H4" s="7"/>
    </row>
    <row r="5" spans="3:22" s="16" customFormat="1" ht="15" customHeight="1" x14ac:dyDescent="0.35">
      <c r="C5" s="6" t="s">
        <v>11</v>
      </c>
      <c r="D5" s="22" t="s">
        <v>49</v>
      </c>
      <c r="E5" s="25" t="s">
        <v>12</v>
      </c>
      <c r="F5" s="6" t="s">
        <v>13</v>
      </c>
      <c r="G5" s="6" t="s">
        <v>14</v>
      </c>
      <c r="H5" s="6" t="s">
        <v>15</v>
      </c>
      <c r="I5" s="6" t="s">
        <v>16</v>
      </c>
      <c r="J5" s="6" t="s">
        <v>17</v>
      </c>
      <c r="K5" s="6" t="s">
        <v>18</v>
      </c>
      <c r="L5" s="6" t="s">
        <v>75</v>
      </c>
      <c r="M5" s="22" t="s">
        <v>76</v>
      </c>
    </row>
    <row r="6" spans="3:22" x14ac:dyDescent="0.35">
      <c r="C6" s="2" t="s">
        <v>19</v>
      </c>
      <c r="D6" s="33" t="s">
        <v>236</v>
      </c>
      <c r="E6" s="2" t="s">
        <v>20</v>
      </c>
      <c r="F6" s="202">
        <f>'olah data'!AC51</f>
        <v>0</v>
      </c>
      <c r="G6" s="4">
        <f>SQRT(6)</f>
        <v>2.4494897427831779</v>
      </c>
      <c r="H6" s="2">
        <v>5</v>
      </c>
      <c r="I6" s="178">
        <f>F6/G6</f>
        <v>0</v>
      </c>
      <c r="J6" s="2">
        <v>1</v>
      </c>
      <c r="K6" s="178">
        <f>I6*J6</f>
        <v>0</v>
      </c>
      <c r="L6" s="178">
        <f>K6^2</f>
        <v>0</v>
      </c>
      <c r="M6" s="23">
        <f>L6^2/H6</f>
        <v>0</v>
      </c>
    </row>
    <row r="7" spans="3:22" ht="15" customHeight="1" x14ac:dyDescent="0.35">
      <c r="C7" s="24" t="s">
        <v>77</v>
      </c>
      <c r="D7" s="33" t="s">
        <v>236</v>
      </c>
      <c r="E7" s="2" t="s">
        <v>21</v>
      </c>
      <c r="F7" s="26">
        <f>2%*'olah data'!D55</f>
        <v>219.14431266846358</v>
      </c>
      <c r="G7" s="4">
        <v>2</v>
      </c>
      <c r="H7" s="2">
        <v>50</v>
      </c>
      <c r="I7" s="178">
        <f t="shared" ref="I7:I9" si="0">F7/G7</f>
        <v>109.57215633423179</v>
      </c>
      <c r="J7" s="2">
        <v>1</v>
      </c>
      <c r="K7" s="178">
        <f>I7*J7</f>
        <v>109.57215633423179</v>
      </c>
      <c r="L7" s="178">
        <f t="shared" ref="L7:L9" si="1">K7^2</f>
        <v>12006.057443733333</v>
      </c>
      <c r="M7" s="23">
        <f>L7^2/H7</f>
        <v>2882908.3068444915</v>
      </c>
    </row>
    <row r="8" spans="3:22" ht="15" customHeight="1" x14ac:dyDescent="0.35">
      <c r="C8" s="24" t="s">
        <v>78</v>
      </c>
      <c r="D8" s="33" t="s">
        <v>236</v>
      </c>
      <c r="E8" s="2" t="s">
        <v>21</v>
      </c>
      <c r="F8" s="27">
        <f>(0.3%*700*0.1)*0.1</f>
        <v>2.1000000000000005E-2</v>
      </c>
      <c r="G8" s="4">
        <f>SQRT(3)</f>
        <v>1.7320508075688772</v>
      </c>
      <c r="H8" s="2">
        <v>50</v>
      </c>
      <c r="I8" s="178">
        <f t="shared" si="0"/>
        <v>1.2124355652982144E-2</v>
      </c>
      <c r="J8" s="2">
        <v>1</v>
      </c>
      <c r="K8" s="178">
        <f>I8*J8</f>
        <v>1.2124355652982144E-2</v>
      </c>
      <c r="L8" s="178">
        <f t="shared" si="1"/>
        <v>1.4700000000000008E-4</v>
      </c>
      <c r="M8" s="23">
        <f>L8^2/H8</f>
        <v>4.3218000000000041E-10</v>
      </c>
    </row>
    <row r="9" spans="3:22" x14ac:dyDescent="0.35">
      <c r="C9" s="24" t="s">
        <v>79</v>
      </c>
      <c r="D9" s="33" t="s">
        <v>236</v>
      </c>
      <c r="E9" s="2" t="s">
        <v>21</v>
      </c>
      <c r="F9" s="63">
        <f>D4</f>
        <v>0</v>
      </c>
      <c r="G9" s="4">
        <f>SQRT(3)</f>
        <v>1.7320508075688772</v>
      </c>
      <c r="H9" s="2">
        <v>50</v>
      </c>
      <c r="I9" s="178">
        <f t="shared" si="0"/>
        <v>0</v>
      </c>
      <c r="J9" s="2">
        <v>1</v>
      </c>
      <c r="K9" s="178">
        <f>I9*J9</f>
        <v>0</v>
      </c>
      <c r="L9" s="178">
        <f t="shared" si="1"/>
        <v>0</v>
      </c>
      <c r="M9" s="23">
        <f>L9^2/H9</f>
        <v>0</v>
      </c>
    </row>
    <row r="10" spans="3:22" x14ac:dyDescent="0.35">
      <c r="C10" s="2" t="s">
        <v>22</v>
      </c>
      <c r="D10" s="3"/>
      <c r="E10" s="3"/>
      <c r="F10" s="3"/>
      <c r="G10" s="3"/>
      <c r="H10" s="3"/>
      <c r="I10" s="3"/>
      <c r="J10" s="3"/>
      <c r="K10" s="3"/>
      <c r="L10" s="178">
        <f>SUM(L6:L9)</f>
        <v>12006.057590733333</v>
      </c>
      <c r="M10" s="23">
        <f>SUM(M6:M9)</f>
        <v>2882908.306844492</v>
      </c>
    </row>
    <row r="11" spans="3:22" x14ac:dyDescent="0.35">
      <c r="C11" s="2" t="s">
        <v>23</v>
      </c>
      <c r="D11" s="3"/>
      <c r="E11" s="3"/>
      <c r="F11" s="3"/>
      <c r="G11" s="3"/>
      <c r="H11" s="3"/>
      <c r="I11" s="3"/>
      <c r="J11" s="3"/>
      <c r="K11" s="3"/>
      <c r="L11" s="178">
        <f>SQRT(L10)</f>
        <v>109.57215700502265</v>
      </c>
      <c r="M11" s="5"/>
    </row>
    <row r="12" spans="3:22" x14ac:dyDescent="0.35">
      <c r="C12" s="2" t="s">
        <v>24</v>
      </c>
      <c r="D12" s="3"/>
      <c r="E12" s="3"/>
      <c r="F12" s="3"/>
      <c r="G12" s="3"/>
      <c r="H12" s="3"/>
      <c r="I12" s="3"/>
      <c r="J12" s="3"/>
      <c r="K12" s="3"/>
      <c r="L12" s="178">
        <f>L11^4/M10</f>
        <v>50.000001224381947</v>
      </c>
      <c r="M12" s="5"/>
    </row>
    <row r="13" spans="3:22" x14ac:dyDescent="0.35">
      <c r="C13" s="2" t="s">
        <v>26</v>
      </c>
      <c r="D13" s="3"/>
      <c r="E13" s="3"/>
      <c r="F13" s="3"/>
      <c r="G13" s="3"/>
      <c r="H13" s="3"/>
      <c r="I13" s="3"/>
      <c r="J13" s="3"/>
      <c r="K13" s="3"/>
      <c r="L13" s="178">
        <f>TINV(0.05,L12)</f>
        <v>2.0085591121007611</v>
      </c>
      <c r="M13" s="5"/>
    </row>
    <row r="14" spans="3:22" x14ac:dyDescent="0.35">
      <c r="C14" s="2" t="s">
        <v>25</v>
      </c>
      <c r="D14" s="3"/>
      <c r="E14" s="3"/>
      <c r="F14" s="3"/>
      <c r="G14" s="3"/>
      <c r="H14" s="3"/>
      <c r="I14" s="3"/>
      <c r="J14" s="3"/>
      <c r="K14" s="3"/>
      <c r="L14" s="4">
        <f>L13*L11</f>
        <v>220.08215438497348</v>
      </c>
      <c r="M14" s="5" t="s">
        <v>236</v>
      </c>
    </row>
    <row r="15" spans="3:22" x14ac:dyDescent="0.35">
      <c r="L15" s="240">
        <f>L14/1000</f>
        <v>0.22008215438497347</v>
      </c>
      <c r="M15" t="s">
        <v>248</v>
      </c>
    </row>
    <row r="16" spans="3:22" x14ac:dyDescent="0.35">
      <c r="D16" s="1"/>
      <c r="G16" s="64"/>
    </row>
    <row r="17" spans="3:13" x14ac:dyDescent="0.35">
      <c r="D17" s="1"/>
      <c r="G17" s="1"/>
    </row>
    <row r="18" spans="3:13" x14ac:dyDescent="0.35"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</row>
    <row r="19" spans="3:13" x14ac:dyDescent="0.35">
      <c r="D19" s="265"/>
      <c r="F19" s="266"/>
      <c r="G19" s="61"/>
      <c r="I19" s="61"/>
      <c r="K19" s="61"/>
      <c r="L19" s="61"/>
      <c r="M19" s="62"/>
    </row>
    <row r="20" spans="3:13" x14ac:dyDescent="0.35">
      <c r="C20" s="267"/>
      <c r="D20" s="265"/>
      <c r="F20" s="61"/>
      <c r="G20" s="61"/>
      <c r="I20" s="61"/>
      <c r="K20" s="61"/>
      <c r="L20" s="61"/>
      <c r="M20" s="62"/>
    </row>
    <row r="21" spans="3:13" x14ac:dyDescent="0.35">
      <c r="C21" s="267"/>
      <c r="D21" s="265"/>
      <c r="G21" s="61"/>
      <c r="I21" s="61"/>
      <c r="K21" s="61"/>
      <c r="L21" s="61"/>
      <c r="M21" s="62"/>
    </row>
    <row r="22" spans="3:13" x14ac:dyDescent="0.35">
      <c r="C22" s="267"/>
      <c r="D22" s="265"/>
      <c r="F22" s="268"/>
      <c r="G22" s="61"/>
      <c r="I22" s="61"/>
      <c r="K22" s="61"/>
      <c r="L22" s="61"/>
      <c r="M22" s="62"/>
    </row>
    <row r="23" spans="3:13" x14ac:dyDescent="0.35">
      <c r="L23" s="61"/>
      <c r="M23" s="62"/>
    </row>
    <row r="24" spans="3:13" x14ac:dyDescent="0.35">
      <c r="L24" s="61"/>
      <c r="M24" s="61"/>
    </row>
    <row r="25" spans="3:13" x14ac:dyDescent="0.35">
      <c r="L25" s="61"/>
      <c r="M25" s="61"/>
    </row>
    <row r="26" spans="3:13" x14ac:dyDescent="0.35">
      <c r="L26" s="61"/>
      <c r="M26" s="61"/>
    </row>
    <row r="27" spans="3:13" x14ac:dyDescent="0.35">
      <c r="L27" s="61"/>
      <c r="M27" s="61"/>
    </row>
    <row r="28" spans="3:13" x14ac:dyDescent="0.35">
      <c r="L28" s="239"/>
    </row>
    <row r="29" spans="3:13" x14ac:dyDescent="0.35">
      <c r="D29" s="1"/>
      <c r="G29" s="64"/>
    </row>
    <row r="30" spans="3:13" x14ac:dyDescent="0.35">
      <c r="D30" s="1"/>
      <c r="G30" s="1"/>
    </row>
    <row r="31" spans="3:13" x14ac:dyDescent="0.35"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</row>
    <row r="32" spans="3:13" x14ac:dyDescent="0.35">
      <c r="D32" s="265"/>
      <c r="F32" s="271"/>
      <c r="G32" s="61"/>
      <c r="I32" s="61"/>
      <c r="K32" s="61"/>
      <c r="L32" s="61"/>
      <c r="M32" s="62"/>
    </row>
    <row r="33" spans="3:13" x14ac:dyDescent="0.35">
      <c r="C33" s="267"/>
      <c r="D33" s="265"/>
      <c r="F33" s="61"/>
      <c r="G33" s="61"/>
      <c r="I33" s="61"/>
      <c r="K33" s="61"/>
      <c r="L33" s="61"/>
      <c r="M33" s="62"/>
    </row>
    <row r="34" spans="3:13" x14ac:dyDescent="0.35">
      <c r="C34" s="267"/>
      <c r="D34" s="265"/>
      <c r="F34" s="271"/>
      <c r="G34" s="61"/>
      <c r="I34" s="61"/>
      <c r="K34" s="61"/>
      <c r="L34" s="61"/>
      <c r="M34" s="62"/>
    </row>
    <row r="35" spans="3:13" x14ac:dyDescent="0.35">
      <c r="C35" s="267"/>
      <c r="D35" s="265"/>
      <c r="F35" s="268"/>
      <c r="G35" s="61"/>
      <c r="I35" s="61"/>
      <c r="K35" s="61"/>
      <c r="L35" s="61"/>
      <c r="M35" s="62"/>
    </row>
    <row r="36" spans="3:13" x14ac:dyDescent="0.35">
      <c r="L36" s="61"/>
      <c r="M36" s="62"/>
    </row>
    <row r="37" spans="3:13" x14ac:dyDescent="0.35">
      <c r="L37" s="61"/>
      <c r="M37" s="61"/>
    </row>
    <row r="38" spans="3:13" x14ac:dyDescent="0.35">
      <c r="L38" s="61"/>
      <c r="M38" s="61"/>
    </row>
    <row r="39" spans="3:13" x14ac:dyDescent="0.35">
      <c r="L39" s="61"/>
      <c r="M39" s="61"/>
    </row>
    <row r="40" spans="3:13" x14ac:dyDescent="0.35">
      <c r="L40" s="61"/>
      <c r="M40" s="61"/>
    </row>
    <row r="41" spans="3:13" x14ac:dyDescent="0.35"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</row>
    <row r="42" spans="3:13" x14ac:dyDescent="0.35">
      <c r="D42" s="1"/>
      <c r="G42" s="64"/>
    </row>
    <row r="43" spans="3:13" x14ac:dyDescent="0.35">
      <c r="D43" s="1"/>
      <c r="G43" s="1"/>
    </row>
    <row r="44" spans="3:13" x14ac:dyDescent="0.35"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</row>
    <row r="45" spans="3:13" x14ac:dyDescent="0.35">
      <c r="D45" s="265"/>
      <c r="F45" s="271"/>
      <c r="G45" s="61"/>
      <c r="I45" s="61"/>
      <c r="K45" s="61"/>
      <c r="L45" s="61"/>
      <c r="M45" s="62"/>
    </row>
    <row r="46" spans="3:13" x14ac:dyDescent="0.35">
      <c r="C46" s="267"/>
      <c r="D46" s="265"/>
      <c r="F46" s="61"/>
      <c r="G46" s="61"/>
      <c r="I46" s="61"/>
      <c r="K46" s="61"/>
      <c r="L46" s="61"/>
      <c r="M46" s="62"/>
    </row>
    <row r="47" spans="3:13" x14ac:dyDescent="0.35">
      <c r="C47" s="267"/>
      <c r="D47" s="265"/>
      <c r="F47" s="271"/>
      <c r="G47" s="61"/>
      <c r="I47" s="61"/>
      <c r="K47" s="61"/>
      <c r="L47" s="61"/>
      <c r="M47" s="62"/>
    </row>
    <row r="48" spans="3:13" x14ac:dyDescent="0.35">
      <c r="C48" s="267"/>
      <c r="D48" s="265"/>
      <c r="F48" s="268"/>
      <c r="G48" s="61"/>
      <c r="I48" s="61"/>
      <c r="K48" s="61"/>
      <c r="L48" s="61"/>
      <c r="M48" s="62"/>
    </row>
    <row r="49" spans="2:19" x14ac:dyDescent="0.35">
      <c r="L49" s="61"/>
      <c r="M49" s="62"/>
    </row>
    <row r="50" spans="2:19" x14ac:dyDescent="0.35">
      <c r="L50" s="61"/>
      <c r="M50" s="61"/>
    </row>
    <row r="51" spans="2:19" ht="15.5" x14ac:dyDescent="0.35">
      <c r="B51" s="323"/>
      <c r="L51" s="61"/>
      <c r="M51" s="61"/>
      <c r="N51" s="324"/>
      <c r="O51" s="325"/>
      <c r="P51" s="325"/>
      <c r="Q51" s="326"/>
      <c r="R51" s="326"/>
      <c r="S51" s="326"/>
    </row>
    <row r="52" spans="2:19" x14ac:dyDescent="0.35">
      <c r="L52" s="61"/>
      <c r="M52" s="61"/>
    </row>
    <row r="53" spans="2:19" x14ac:dyDescent="0.35">
      <c r="L53" s="61"/>
      <c r="M53" s="61"/>
    </row>
    <row r="54" spans="2:19" x14ac:dyDescent="0.35">
      <c r="F54" s="61"/>
      <c r="G54" s="61"/>
      <c r="I54" s="61"/>
      <c r="K54" s="61"/>
      <c r="L54" s="240"/>
      <c r="M54" s="62"/>
    </row>
    <row r="55" spans="2:19" x14ac:dyDescent="0.35">
      <c r="D55" s="1"/>
      <c r="G55" s="64"/>
    </row>
    <row r="56" spans="2:19" x14ac:dyDescent="0.35">
      <c r="D56" s="1"/>
      <c r="G56" s="1"/>
    </row>
    <row r="57" spans="2:19" x14ac:dyDescent="0.35"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</row>
    <row r="58" spans="2:19" x14ac:dyDescent="0.35">
      <c r="D58" s="265"/>
      <c r="F58" s="266"/>
      <c r="G58" s="61"/>
      <c r="I58" s="61"/>
      <c r="K58" s="61"/>
      <c r="L58" s="61"/>
      <c r="M58" s="62"/>
    </row>
    <row r="59" spans="2:19" x14ac:dyDescent="0.35">
      <c r="C59" s="267"/>
      <c r="D59" s="265"/>
      <c r="F59" s="61"/>
      <c r="G59" s="61"/>
      <c r="I59" s="61"/>
      <c r="K59" s="61"/>
      <c r="L59" s="61"/>
      <c r="M59" s="62"/>
    </row>
    <row r="60" spans="2:19" x14ac:dyDescent="0.35">
      <c r="C60" s="267"/>
      <c r="D60" s="265"/>
      <c r="G60" s="61"/>
      <c r="I60" s="61"/>
      <c r="K60" s="61"/>
      <c r="L60" s="61"/>
      <c r="M60" s="62"/>
    </row>
    <row r="61" spans="2:19" x14ac:dyDescent="0.35">
      <c r="C61" s="267"/>
      <c r="D61" s="265"/>
      <c r="F61" s="268"/>
      <c r="G61" s="61"/>
      <c r="I61" s="61"/>
      <c r="K61" s="61"/>
      <c r="L61" s="61"/>
      <c r="M61" s="62"/>
    </row>
    <row r="62" spans="2:19" x14ac:dyDescent="0.35">
      <c r="L62" s="61"/>
      <c r="M62" s="62"/>
    </row>
    <row r="63" spans="2:19" x14ac:dyDescent="0.35">
      <c r="L63" s="61"/>
      <c r="M63" s="61"/>
    </row>
    <row r="64" spans="2:19" x14ac:dyDescent="0.35">
      <c r="L64" s="61"/>
      <c r="M64" s="61"/>
    </row>
    <row r="65" spans="3:13" x14ac:dyDescent="0.35">
      <c r="L65" s="61"/>
      <c r="M65" s="61"/>
    </row>
    <row r="66" spans="3:13" x14ac:dyDescent="0.35">
      <c r="L66" s="61"/>
      <c r="M66" s="61"/>
    </row>
    <row r="67" spans="3:13" x14ac:dyDescent="0.35">
      <c r="L67" s="239"/>
    </row>
    <row r="69" spans="3:13" x14ac:dyDescent="0.35">
      <c r="G69" s="64"/>
    </row>
    <row r="70" spans="3:13" x14ac:dyDescent="0.35">
      <c r="G70" s="1"/>
    </row>
    <row r="71" spans="3:13" x14ac:dyDescent="0.35"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</row>
    <row r="72" spans="3:13" x14ac:dyDescent="0.35">
      <c r="D72" s="265"/>
      <c r="F72" s="269"/>
      <c r="G72" s="61"/>
      <c r="I72" s="61"/>
      <c r="K72" s="61"/>
      <c r="L72" s="61"/>
      <c r="M72" s="62"/>
    </row>
    <row r="73" spans="3:13" x14ac:dyDescent="0.35">
      <c r="C73" s="267"/>
      <c r="D73" s="265"/>
      <c r="F73" s="61"/>
      <c r="G73" s="61"/>
      <c r="I73" s="61"/>
      <c r="K73" s="61"/>
      <c r="L73" s="61"/>
      <c r="M73" s="62"/>
    </row>
    <row r="74" spans="3:13" x14ac:dyDescent="0.35">
      <c r="C74" s="267"/>
      <c r="D74" s="265"/>
      <c r="G74" s="61"/>
      <c r="I74" s="61"/>
      <c r="K74" s="61"/>
      <c r="L74" s="61"/>
      <c r="M74" s="62"/>
    </row>
    <row r="75" spans="3:13" x14ac:dyDescent="0.35">
      <c r="C75" s="267"/>
      <c r="D75" s="265"/>
      <c r="F75" s="268"/>
      <c r="G75" s="61"/>
      <c r="I75" s="61"/>
      <c r="K75" s="61"/>
      <c r="L75" s="61"/>
      <c r="M75" s="62"/>
    </row>
    <row r="76" spans="3:13" x14ac:dyDescent="0.35">
      <c r="L76" s="61"/>
      <c r="M76" s="62"/>
    </row>
    <row r="77" spans="3:13" x14ac:dyDescent="0.35">
      <c r="L77" s="61"/>
      <c r="M77" s="61"/>
    </row>
    <row r="78" spans="3:13" x14ac:dyDescent="0.35">
      <c r="L78" s="61"/>
      <c r="M78" s="61"/>
    </row>
    <row r="79" spans="3:13" x14ac:dyDescent="0.35">
      <c r="L79" s="61"/>
      <c r="M79" s="61"/>
    </row>
    <row r="80" spans="3:13" x14ac:dyDescent="0.35">
      <c r="L80" s="61"/>
      <c r="M80" s="61"/>
    </row>
    <row r="81" spans="3:13" x14ac:dyDescent="0.35">
      <c r="L81" s="239"/>
    </row>
    <row r="82" spans="3:13" x14ac:dyDescent="0.35">
      <c r="D82" s="1"/>
      <c r="G82" s="64"/>
    </row>
    <row r="83" spans="3:13" x14ac:dyDescent="0.35">
      <c r="D83" s="1"/>
      <c r="G83" s="1"/>
    </row>
    <row r="84" spans="3:13" x14ac:dyDescent="0.35"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</row>
    <row r="85" spans="3:13" x14ac:dyDescent="0.35">
      <c r="D85" s="265"/>
      <c r="F85" s="266"/>
      <c r="G85" s="61"/>
      <c r="I85" s="61"/>
      <c r="K85" s="61"/>
      <c r="L85" s="61"/>
      <c r="M85" s="62"/>
    </row>
    <row r="86" spans="3:13" x14ac:dyDescent="0.35">
      <c r="C86" s="267"/>
      <c r="D86" s="265"/>
      <c r="F86" s="61"/>
      <c r="G86" s="61"/>
      <c r="I86" s="61"/>
      <c r="K86" s="61"/>
      <c r="L86" s="61"/>
      <c r="M86" s="62"/>
    </row>
    <row r="87" spans="3:13" x14ac:dyDescent="0.35">
      <c r="C87" s="267"/>
      <c r="D87" s="265"/>
      <c r="G87" s="61"/>
      <c r="I87" s="61"/>
      <c r="K87" s="61"/>
      <c r="L87" s="61"/>
      <c r="M87" s="62"/>
    </row>
    <row r="88" spans="3:13" x14ac:dyDescent="0.35">
      <c r="C88" s="267"/>
      <c r="D88" s="265"/>
      <c r="F88" s="268"/>
      <c r="G88" s="61"/>
      <c r="I88" s="61"/>
      <c r="K88" s="61"/>
      <c r="L88" s="61"/>
      <c r="M88" s="62"/>
    </row>
    <row r="89" spans="3:13" x14ac:dyDescent="0.35">
      <c r="L89" s="61"/>
      <c r="M89" s="62"/>
    </row>
    <row r="90" spans="3:13" x14ac:dyDescent="0.35">
      <c r="L90" s="61"/>
      <c r="M90" s="61"/>
    </row>
    <row r="91" spans="3:13" x14ac:dyDescent="0.35">
      <c r="L91" s="61"/>
      <c r="M91" s="61"/>
    </row>
    <row r="92" spans="3:13" x14ac:dyDescent="0.35">
      <c r="L92" s="61"/>
      <c r="M92" s="61"/>
    </row>
    <row r="93" spans="3:13" x14ac:dyDescent="0.35">
      <c r="L93" s="61"/>
      <c r="M93" s="61"/>
    </row>
    <row r="94" spans="3:13" x14ac:dyDescent="0.35">
      <c r="L94" s="239"/>
    </row>
    <row r="95" spans="3:13" x14ac:dyDescent="0.35">
      <c r="D95" s="1"/>
      <c r="G95" s="64"/>
    </row>
    <row r="96" spans="3:13" x14ac:dyDescent="0.35">
      <c r="D96" s="1"/>
      <c r="G96" s="1"/>
    </row>
    <row r="97" spans="3:13" x14ac:dyDescent="0.35"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</row>
    <row r="98" spans="3:13" x14ac:dyDescent="0.35">
      <c r="D98" s="265"/>
      <c r="F98" s="266"/>
      <c r="G98" s="61"/>
      <c r="I98" s="61"/>
      <c r="K98" s="61"/>
      <c r="L98" s="61"/>
      <c r="M98" s="62"/>
    </row>
    <row r="99" spans="3:13" x14ac:dyDescent="0.35">
      <c r="C99" s="267"/>
      <c r="D99" s="265"/>
      <c r="F99" s="61"/>
      <c r="G99" s="61"/>
      <c r="I99" s="61"/>
      <c r="K99" s="61"/>
      <c r="L99" s="61"/>
      <c r="M99" s="62"/>
    </row>
    <row r="100" spans="3:13" x14ac:dyDescent="0.35">
      <c r="C100" s="267"/>
      <c r="D100" s="265"/>
      <c r="G100" s="61"/>
      <c r="I100" s="61"/>
      <c r="K100" s="61"/>
      <c r="L100" s="61"/>
      <c r="M100" s="62"/>
    </row>
    <row r="101" spans="3:13" x14ac:dyDescent="0.35">
      <c r="C101" s="267"/>
      <c r="D101" s="265"/>
      <c r="F101" s="268"/>
      <c r="G101" s="61"/>
      <c r="I101" s="61"/>
      <c r="K101" s="61"/>
      <c r="L101" s="61"/>
      <c r="M101" s="62"/>
    </row>
    <row r="102" spans="3:13" x14ac:dyDescent="0.35">
      <c r="L102" s="61"/>
      <c r="M102" s="62"/>
    </row>
    <row r="103" spans="3:13" x14ac:dyDescent="0.35">
      <c r="L103" s="61"/>
      <c r="M103" s="61"/>
    </row>
    <row r="104" spans="3:13" x14ac:dyDescent="0.35">
      <c r="L104" s="61"/>
      <c r="M104" s="61"/>
    </row>
    <row r="105" spans="3:13" x14ac:dyDescent="0.35">
      <c r="L105" s="61"/>
      <c r="M105" s="61"/>
    </row>
    <row r="106" spans="3:13" x14ac:dyDescent="0.35">
      <c r="L106" s="61"/>
      <c r="M106" s="61"/>
    </row>
    <row r="107" spans="3:13" x14ac:dyDescent="0.35"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</row>
    <row r="108" spans="3:13" x14ac:dyDescent="0.35">
      <c r="D108" s="1"/>
      <c r="G108" s="64"/>
    </row>
    <row r="109" spans="3:13" x14ac:dyDescent="0.35">
      <c r="D109" s="1"/>
      <c r="G109" s="1"/>
    </row>
    <row r="110" spans="3:13" x14ac:dyDescent="0.35"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</row>
    <row r="111" spans="3:13" x14ac:dyDescent="0.35">
      <c r="D111" s="265"/>
      <c r="F111" s="266"/>
      <c r="G111" s="61"/>
      <c r="I111" s="61"/>
      <c r="K111" s="61"/>
      <c r="L111" s="61"/>
      <c r="M111" s="62"/>
    </row>
    <row r="112" spans="3:13" x14ac:dyDescent="0.35">
      <c r="C112" s="267"/>
      <c r="D112" s="265"/>
      <c r="F112" s="61"/>
      <c r="G112" s="61"/>
      <c r="I112" s="61"/>
      <c r="K112" s="61"/>
      <c r="L112" s="61"/>
      <c r="M112" s="62"/>
    </row>
    <row r="113" spans="3:13" x14ac:dyDescent="0.35">
      <c r="C113" s="267"/>
      <c r="D113" s="265"/>
      <c r="G113" s="61"/>
      <c r="I113" s="61"/>
      <c r="K113" s="61"/>
      <c r="L113" s="61"/>
      <c r="M113" s="62"/>
    </row>
    <row r="114" spans="3:13" x14ac:dyDescent="0.35">
      <c r="C114" s="267"/>
      <c r="D114" s="265"/>
      <c r="F114" s="268"/>
      <c r="G114" s="61"/>
      <c r="I114" s="61"/>
      <c r="K114" s="61"/>
      <c r="L114" s="61"/>
      <c r="M114" s="62"/>
    </row>
    <row r="115" spans="3:13" x14ac:dyDescent="0.35">
      <c r="L115" s="61"/>
      <c r="M115" s="62"/>
    </row>
    <row r="116" spans="3:13" x14ac:dyDescent="0.35">
      <c r="L116" s="61"/>
      <c r="M116" s="61"/>
    </row>
    <row r="117" spans="3:13" x14ac:dyDescent="0.35">
      <c r="L117" s="61"/>
      <c r="M117" s="61"/>
    </row>
    <row r="118" spans="3:13" x14ac:dyDescent="0.35">
      <c r="L118" s="61"/>
      <c r="M118" s="61"/>
    </row>
    <row r="119" spans="3:13" x14ac:dyDescent="0.35">
      <c r="L119" s="61"/>
      <c r="M119" s="61"/>
    </row>
    <row r="120" spans="3:13" x14ac:dyDescent="0.35">
      <c r="F120" s="61"/>
      <c r="G120" s="61"/>
      <c r="I120" s="61"/>
      <c r="K120" s="61"/>
      <c r="L120" s="239"/>
      <c r="M120" s="62"/>
    </row>
    <row r="121" spans="3:13" x14ac:dyDescent="0.35">
      <c r="D121" s="1"/>
      <c r="G121" s="64"/>
    </row>
    <row r="122" spans="3:13" x14ac:dyDescent="0.35">
      <c r="D122" s="1"/>
      <c r="G122" s="1"/>
    </row>
    <row r="123" spans="3:13" x14ac:dyDescent="0.35"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</row>
    <row r="124" spans="3:13" x14ac:dyDescent="0.35">
      <c r="D124" s="265"/>
      <c r="F124" s="269"/>
      <c r="G124" s="61"/>
      <c r="I124" s="61"/>
      <c r="K124" s="61"/>
      <c r="L124" s="61"/>
      <c r="M124" s="62"/>
    </row>
    <row r="125" spans="3:13" x14ac:dyDescent="0.35">
      <c r="C125" s="267"/>
      <c r="D125" s="265"/>
      <c r="F125" s="61"/>
      <c r="G125" s="61"/>
      <c r="I125" s="61"/>
      <c r="K125" s="61"/>
      <c r="L125" s="61"/>
      <c r="M125" s="62"/>
    </row>
    <row r="126" spans="3:13" x14ac:dyDescent="0.35">
      <c r="C126" s="267"/>
      <c r="D126" s="265"/>
      <c r="G126" s="61"/>
      <c r="I126" s="61"/>
      <c r="K126" s="61"/>
      <c r="L126" s="61"/>
      <c r="M126" s="62"/>
    </row>
    <row r="127" spans="3:13" x14ac:dyDescent="0.35">
      <c r="C127" s="267"/>
      <c r="D127" s="265"/>
      <c r="F127" s="268"/>
      <c r="G127" s="61"/>
      <c r="I127" s="61"/>
      <c r="K127" s="61"/>
      <c r="L127" s="61"/>
      <c r="M127" s="62"/>
    </row>
    <row r="128" spans="3:13" x14ac:dyDescent="0.35">
      <c r="L128" s="61"/>
      <c r="M128" s="62"/>
    </row>
    <row r="129" spans="3:13" x14ac:dyDescent="0.35">
      <c r="L129" s="61"/>
      <c r="M129" s="61"/>
    </row>
    <row r="130" spans="3:13" x14ac:dyDescent="0.35">
      <c r="L130" s="61"/>
      <c r="M130" s="61"/>
    </row>
    <row r="131" spans="3:13" x14ac:dyDescent="0.35">
      <c r="L131" s="61"/>
      <c r="M131" s="61"/>
    </row>
    <row r="132" spans="3:13" x14ac:dyDescent="0.35">
      <c r="L132" s="61"/>
      <c r="M132" s="61"/>
    </row>
    <row r="133" spans="3:13" x14ac:dyDescent="0.35">
      <c r="L133" s="240"/>
      <c r="M133" s="61"/>
    </row>
    <row r="134" spans="3:13" x14ac:dyDescent="0.35">
      <c r="C134" s="1"/>
      <c r="D134" s="1"/>
      <c r="G134" s="64"/>
    </row>
    <row r="135" spans="3:13" x14ac:dyDescent="0.35">
      <c r="D135" s="1"/>
      <c r="G135" s="1"/>
    </row>
    <row r="136" spans="3:13" x14ac:dyDescent="0.35"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</row>
    <row r="137" spans="3:13" x14ac:dyDescent="0.35">
      <c r="D137" s="265"/>
      <c r="F137" s="269"/>
      <c r="G137" s="61"/>
      <c r="I137" s="61"/>
      <c r="K137" s="61"/>
      <c r="L137" s="61"/>
      <c r="M137" s="62"/>
    </row>
    <row r="138" spans="3:13" x14ac:dyDescent="0.35">
      <c r="C138" s="267"/>
      <c r="D138" s="265"/>
      <c r="F138" s="61"/>
      <c r="G138" s="61"/>
      <c r="I138" s="61"/>
      <c r="K138" s="61"/>
      <c r="L138" s="61"/>
      <c r="M138" s="62"/>
    </row>
    <row r="139" spans="3:13" x14ac:dyDescent="0.35">
      <c r="C139" s="267"/>
      <c r="D139" s="265"/>
      <c r="G139" s="61"/>
      <c r="I139" s="61"/>
      <c r="K139" s="61"/>
      <c r="L139" s="61"/>
      <c r="M139" s="62"/>
    </row>
    <row r="140" spans="3:13" x14ac:dyDescent="0.35">
      <c r="C140" s="267"/>
      <c r="D140" s="265"/>
      <c r="F140" s="268"/>
      <c r="G140" s="61"/>
      <c r="I140" s="61"/>
      <c r="K140" s="61"/>
      <c r="L140" s="61"/>
      <c r="M140" s="62"/>
    </row>
    <row r="141" spans="3:13" x14ac:dyDescent="0.35">
      <c r="L141" s="61"/>
      <c r="M141" s="62"/>
    </row>
    <row r="142" spans="3:13" x14ac:dyDescent="0.35">
      <c r="L142" s="61"/>
      <c r="M142" s="61"/>
    </row>
    <row r="143" spans="3:13" x14ac:dyDescent="0.35">
      <c r="L143" s="61"/>
      <c r="M143" s="61"/>
    </row>
    <row r="144" spans="3:13" x14ac:dyDescent="0.35">
      <c r="L144" s="61"/>
      <c r="M144" s="61"/>
    </row>
    <row r="145" spans="1:13" x14ac:dyDescent="0.35">
      <c r="L145" s="61"/>
      <c r="M145" s="61"/>
    </row>
    <row r="146" spans="1:13" x14ac:dyDescent="0.35">
      <c r="L146" s="61"/>
      <c r="M146" s="61"/>
    </row>
    <row r="147" spans="1:13" x14ac:dyDescent="0.35">
      <c r="A147">
        <v>2</v>
      </c>
      <c r="C147" s="1"/>
    </row>
    <row r="148" spans="1:13" x14ac:dyDescent="0.35">
      <c r="D148" s="1"/>
      <c r="G148" s="1"/>
    </row>
    <row r="149" spans="1:13" x14ac:dyDescent="0.35"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</row>
    <row r="150" spans="1:13" x14ac:dyDescent="0.35">
      <c r="D150" s="265"/>
      <c r="F150" s="61"/>
      <c r="G150" s="61"/>
      <c r="I150" s="61"/>
      <c r="K150" s="61"/>
      <c r="L150" s="61"/>
      <c r="M150" s="62"/>
    </row>
    <row r="151" spans="1:13" x14ac:dyDescent="0.35">
      <c r="C151" s="267"/>
      <c r="D151" s="265"/>
      <c r="F151" s="61"/>
      <c r="G151" s="61"/>
      <c r="I151" s="61"/>
      <c r="K151" s="61"/>
      <c r="L151" s="61"/>
      <c r="M151" s="62"/>
    </row>
    <row r="152" spans="1:13" x14ac:dyDescent="0.35">
      <c r="C152" s="267"/>
      <c r="D152" s="265"/>
      <c r="F152" s="61"/>
      <c r="G152" s="61"/>
      <c r="I152" s="61"/>
      <c r="K152" s="61"/>
      <c r="L152" s="61"/>
      <c r="M152" s="62"/>
    </row>
    <row r="153" spans="1:13" x14ac:dyDescent="0.35">
      <c r="C153" s="267"/>
      <c r="D153" s="265"/>
      <c r="F153" s="268"/>
      <c r="G153" s="61"/>
      <c r="I153" s="61"/>
      <c r="K153" s="61"/>
      <c r="L153" s="61"/>
      <c r="M153" s="62"/>
    </row>
    <row r="154" spans="1:13" x14ac:dyDescent="0.35">
      <c r="L154" s="61"/>
      <c r="M154" s="62"/>
    </row>
    <row r="155" spans="1:13" x14ac:dyDescent="0.35">
      <c r="L155" s="61"/>
      <c r="M155" s="61"/>
    </row>
    <row r="156" spans="1:13" x14ac:dyDescent="0.35">
      <c r="L156" s="61"/>
      <c r="M156" s="61"/>
    </row>
    <row r="157" spans="1:13" x14ac:dyDescent="0.35">
      <c r="L157" s="61"/>
      <c r="M157" s="61"/>
    </row>
    <row r="158" spans="1:13" x14ac:dyDescent="0.35">
      <c r="L158" s="61"/>
      <c r="M158" s="61"/>
    </row>
    <row r="161" spans="1:13" x14ac:dyDescent="0.35">
      <c r="D161" s="1"/>
      <c r="G161" s="1"/>
    </row>
    <row r="162" spans="1:13" x14ac:dyDescent="0.35"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</row>
    <row r="163" spans="1:13" x14ac:dyDescent="0.35">
      <c r="D163" s="265"/>
      <c r="F163" s="61"/>
      <c r="G163" s="61"/>
      <c r="I163" s="61"/>
      <c r="K163" s="61"/>
      <c r="L163" s="61"/>
      <c r="M163" s="62"/>
    </row>
    <row r="164" spans="1:13" x14ac:dyDescent="0.35">
      <c r="C164" s="267"/>
      <c r="D164" s="265"/>
      <c r="F164" s="61"/>
      <c r="G164" s="61"/>
      <c r="I164" s="61"/>
      <c r="K164" s="61"/>
      <c r="L164" s="61"/>
      <c r="M164" s="62"/>
    </row>
    <row r="165" spans="1:13" x14ac:dyDescent="0.35">
      <c r="C165" s="267"/>
      <c r="D165" s="265"/>
      <c r="F165" s="61"/>
      <c r="G165" s="61"/>
      <c r="I165" s="61"/>
      <c r="K165" s="61"/>
      <c r="L165" s="61"/>
      <c r="M165" s="62"/>
    </row>
    <row r="166" spans="1:13" x14ac:dyDescent="0.35">
      <c r="C166" s="267"/>
      <c r="D166" s="265"/>
      <c r="F166" s="268"/>
      <c r="G166" s="61"/>
      <c r="I166" s="61"/>
      <c r="K166" s="61"/>
      <c r="L166" s="61"/>
      <c r="M166" s="62"/>
    </row>
    <row r="167" spans="1:13" x14ac:dyDescent="0.35">
      <c r="L167" s="61"/>
      <c r="M167" s="62"/>
    </row>
    <row r="168" spans="1:13" x14ac:dyDescent="0.35">
      <c r="L168" s="61"/>
      <c r="M168" s="61"/>
    </row>
    <row r="169" spans="1:13" x14ac:dyDescent="0.35">
      <c r="L169" s="61"/>
      <c r="M169" s="61"/>
    </row>
    <row r="170" spans="1:13" x14ac:dyDescent="0.35">
      <c r="L170" s="61"/>
      <c r="M170" s="61"/>
    </row>
    <row r="171" spans="1:13" x14ac:dyDescent="0.35">
      <c r="L171" s="61"/>
      <c r="M171" s="61"/>
    </row>
    <row r="173" spans="1:13" x14ac:dyDescent="0.35">
      <c r="A173">
        <v>3</v>
      </c>
      <c r="C173" s="270"/>
    </row>
    <row r="174" spans="1:13" x14ac:dyDescent="0.35">
      <c r="D174" s="1"/>
      <c r="G174" s="64"/>
    </row>
    <row r="175" spans="1:13" x14ac:dyDescent="0.35">
      <c r="D175" s="1"/>
      <c r="G175" s="1"/>
    </row>
    <row r="176" spans="1:13" x14ac:dyDescent="0.35"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</row>
    <row r="177" spans="1:13" x14ac:dyDescent="0.35">
      <c r="D177" s="265"/>
      <c r="F177" s="266"/>
      <c r="G177" s="61"/>
      <c r="I177" s="61"/>
      <c r="K177" s="61"/>
      <c r="L177" s="61"/>
      <c r="M177" s="62"/>
    </row>
    <row r="178" spans="1:13" x14ac:dyDescent="0.35">
      <c r="C178" s="267"/>
      <c r="D178" s="265"/>
      <c r="F178" s="61"/>
      <c r="G178" s="61"/>
      <c r="I178" s="61"/>
      <c r="K178" s="61"/>
      <c r="L178" s="61"/>
      <c r="M178" s="62"/>
    </row>
    <row r="179" spans="1:13" x14ac:dyDescent="0.35">
      <c r="C179" s="267"/>
      <c r="D179" s="265"/>
      <c r="F179" s="61"/>
      <c r="G179" s="61"/>
      <c r="I179" s="61"/>
      <c r="K179" s="61"/>
      <c r="L179" s="61"/>
      <c r="M179" s="62"/>
    </row>
    <row r="180" spans="1:13" x14ac:dyDescent="0.35">
      <c r="C180" s="267"/>
      <c r="D180" s="265"/>
      <c r="F180" s="268"/>
      <c r="G180" s="61"/>
      <c r="I180" s="61"/>
      <c r="K180" s="61"/>
      <c r="L180" s="61"/>
      <c r="M180" s="62"/>
    </row>
    <row r="181" spans="1:13" x14ac:dyDescent="0.35">
      <c r="L181" s="61"/>
      <c r="M181" s="62"/>
    </row>
    <row r="182" spans="1:13" x14ac:dyDescent="0.35">
      <c r="L182" s="61"/>
      <c r="M182" s="61"/>
    </row>
    <row r="183" spans="1:13" x14ac:dyDescent="0.35">
      <c r="L183" s="61"/>
      <c r="M183" s="61"/>
    </row>
    <row r="184" spans="1:13" x14ac:dyDescent="0.35">
      <c r="L184" s="61"/>
      <c r="M184" s="61"/>
    </row>
    <row r="185" spans="1:13" x14ac:dyDescent="0.35">
      <c r="L185" s="61"/>
      <c r="M185" s="61"/>
    </row>
    <row r="187" spans="1:13" x14ac:dyDescent="0.35">
      <c r="A187">
        <v>4</v>
      </c>
      <c r="C187" s="270"/>
    </row>
    <row r="188" spans="1:13" x14ac:dyDescent="0.35">
      <c r="D188" s="1"/>
      <c r="G188" s="64"/>
    </row>
    <row r="189" spans="1:13" x14ac:dyDescent="0.35">
      <c r="D189" s="1"/>
      <c r="G189" s="1"/>
    </row>
    <row r="190" spans="1:13" x14ac:dyDescent="0.35"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</row>
    <row r="191" spans="1:13" x14ac:dyDescent="0.35">
      <c r="D191" s="265"/>
      <c r="F191" s="266"/>
      <c r="G191" s="61"/>
      <c r="I191" s="61"/>
      <c r="K191" s="61"/>
      <c r="L191" s="61"/>
      <c r="M191" s="62"/>
    </row>
    <row r="192" spans="1:13" x14ac:dyDescent="0.35">
      <c r="C192" s="267"/>
      <c r="D192" s="265"/>
      <c r="F192" s="61"/>
      <c r="G192" s="61"/>
      <c r="I192" s="61"/>
      <c r="K192" s="61"/>
      <c r="L192" s="61"/>
      <c r="M192" s="62"/>
    </row>
    <row r="193" spans="3:13" x14ac:dyDescent="0.35">
      <c r="C193" s="267"/>
      <c r="D193" s="265"/>
      <c r="F193" s="271"/>
      <c r="G193" s="61"/>
      <c r="I193" s="61"/>
      <c r="K193" s="61"/>
      <c r="L193" s="61"/>
      <c r="M193" s="62"/>
    </row>
    <row r="194" spans="3:13" x14ac:dyDescent="0.35">
      <c r="C194" s="267"/>
      <c r="D194" s="265"/>
      <c r="F194" s="268"/>
      <c r="G194" s="61"/>
      <c r="I194" s="61"/>
      <c r="K194" s="61"/>
      <c r="L194" s="61"/>
      <c r="M194" s="62"/>
    </row>
    <row r="195" spans="3:13" x14ac:dyDescent="0.35">
      <c r="L195" s="61"/>
      <c r="M195" s="62"/>
    </row>
    <row r="196" spans="3:13" x14ac:dyDescent="0.35">
      <c r="L196" s="61"/>
      <c r="M196" s="61"/>
    </row>
    <row r="197" spans="3:13" x14ac:dyDescent="0.35">
      <c r="L197" s="61"/>
      <c r="M197" s="61"/>
    </row>
    <row r="198" spans="3:13" x14ac:dyDescent="0.35">
      <c r="L198" s="61"/>
      <c r="M198" s="61"/>
    </row>
    <row r="199" spans="3:13" x14ac:dyDescent="0.35">
      <c r="L199" s="61"/>
      <c r="M199" s="61"/>
    </row>
  </sheetData>
  <mergeCells count="2">
    <mergeCell ref="C1:M1"/>
    <mergeCell ref="C2:M2"/>
  </mergeCells>
  <pageMargins left="0.31496062992125984" right="0.27559055118110237" top="0.74803149606299213" bottom="0.74803149606299213" header="0.31496062992125984" footer="0.31496062992125984"/>
  <pageSetup paperSize="9" scale="62" orientation="portrait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72"/>
  <sheetViews>
    <sheetView zoomScale="80" zoomScaleNormal="80" workbookViewId="0">
      <selection activeCell="G15" sqref="G15"/>
    </sheetView>
  </sheetViews>
  <sheetFormatPr defaultColWidth="10.1796875" defaultRowHeight="14.5" x14ac:dyDescent="0.35"/>
  <cols>
    <col min="5" max="5" width="10.81640625" bestFit="1" customWidth="1"/>
    <col min="6" max="6" width="11.453125" bestFit="1" customWidth="1"/>
    <col min="9" max="9" width="15.26953125" customWidth="1"/>
    <col min="12" max="12" width="12.7265625" customWidth="1"/>
    <col min="13" max="13" width="12.54296875" customWidth="1"/>
    <col min="16" max="16" width="8.81640625" customWidth="1"/>
    <col min="17" max="17" width="8.54296875" customWidth="1"/>
  </cols>
  <sheetData>
    <row r="1" spans="1:17" ht="21" x14ac:dyDescent="0.35">
      <c r="A1" s="605" t="str">
        <f>'Serti Lux'!A1:H1</f>
        <v xml:space="preserve">HASIL REKALIBRASI </v>
      </c>
      <c r="B1" s="605"/>
      <c r="C1" s="605"/>
      <c r="D1" s="605"/>
      <c r="E1" s="605"/>
      <c r="F1" s="605"/>
      <c r="G1" s="605"/>
      <c r="J1" s="607" t="s">
        <v>191</v>
      </c>
      <c r="K1" s="607"/>
      <c r="L1" s="607"/>
      <c r="M1" s="607"/>
      <c r="N1" s="607"/>
      <c r="O1" s="607"/>
      <c r="P1" s="607"/>
      <c r="Q1" s="607"/>
    </row>
    <row r="2" spans="1:17" ht="18.5" x14ac:dyDescent="0.35">
      <c r="J2" s="608" t="s">
        <v>199</v>
      </c>
      <c r="K2" s="608"/>
      <c r="L2" s="608"/>
      <c r="M2" s="608"/>
      <c r="N2" s="608"/>
      <c r="O2" s="608"/>
      <c r="P2" s="608"/>
      <c r="Q2" s="608"/>
    </row>
    <row r="3" spans="1:17" ht="18.75" customHeight="1" x14ac:dyDescent="0.35">
      <c r="J3" s="611" t="s">
        <v>37</v>
      </c>
      <c r="K3" s="611" t="s">
        <v>193</v>
      </c>
      <c r="L3" s="611" t="s">
        <v>5</v>
      </c>
      <c r="M3" s="611"/>
      <c r="N3" s="611" t="s">
        <v>6</v>
      </c>
      <c r="O3" s="611"/>
      <c r="P3" s="611" t="s">
        <v>200</v>
      </c>
      <c r="Q3" s="611" t="s">
        <v>201</v>
      </c>
    </row>
    <row r="4" spans="1:17" x14ac:dyDescent="0.35">
      <c r="J4" s="611"/>
      <c r="K4" s="611"/>
      <c r="L4" s="193" t="s">
        <v>194</v>
      </c>
      <c r="M4" s="198" t="s">
        <v>195</v>
      </c>
      <c r="N4" s="193" t="s">
        <v>194</v>
      </c>
      <c r="O4" s="198" t="s">
        <v>195</v>
      </c>
      <c r="P4" s="611"/>
      <c r="Q4" s="611"/>
    </row>
    <row r="5" spans="1:17" ht="18" customHeight="1" x14ac:dyDescent="0.35">
      <c r="A5" t="s">
        <v>4</v>
      </c>
      <c r="D5" t="s">
        <v>10</v>
      </c>
      <c r="E5" s="9" t="str">
        <f>'LK isi'!C25</f>
        <v>Thermohygrometer</v>
      </c>
      <c r="J5" s="193">
        <v>1</v>
      </c>
      <c r="K5" s="196" t="s">
        <v>265</v>
      </c>
      <c r="L5" s="196">
        <f>C40</f>
        <v>1.0129963323233935</v>
      </c>
      <c r="M5" s="196">
        <f>D40</f>
        <v>-0.31715151377087736</v>
      </c>
      <c r="N5" s="196">
        <f>L40</f>
        <v>0.99280792636925996</v>
      </c>
      <c r="O5" s="196">
        <f>M40</f>
        <v>1.4101493738369513</v>
      </c>
      <c r="P5" s="197">
        <f>H32</f>
        <v>0.5</v>
      </c>
      <c r="Q5" s="197">
        <f>Q32</f>
        <v>2.2999999999999998</v>
      </c>
    </row>
    <row r="6" spans="1:17" ht="18" customHeight="1" x14ac:dyDescent="0.35">
      <c r="A6" t="s">
        <v>0</v>
      </c>
      <c r="D6" t="s">
        <v>10</v>
      </c>
      <c r="E6" s="9" t="str">
        <f>'LK isi'!K25</f>
        <v>BK Precision</v>
      </c>
      <c r="J6" s="193">
        <v>2</v>
      </c>
      <c r="K6" s="196" t="s">
        <v>198</v>
      </c>
      <c r="L6" s="196">
        <f>C56</f>
        <v>1.0189464221917461</v>
      </c>
      <c r="M6" s="196">
        <f>D56</f>
        <v>-0.4157322146800233</v>
      </c>
      <c r="N6" s="196">
        <f>L56</f>
        <v>0.94935573683489216</v>
      </c>
      <c r="O6" s="196">
        <f>M56</f>
        <v>11.826977468035189</v>
      </c>
      <c r="P6" s="197">
        <f>H48</f>
        <v>0.5</v>
      </c>
      <c r="Q6" s="197">
        <f>Q48</f>
        <v>2.2999999999999998</v>
      </c>
    </row>
    <row r="7" spans="1:17" ht="18" customHeight="1" x14ac:dyDescent="0.35">
      <c r="E7" s="9" t="s">
        <v>217</v>
      </c>
      <c r="J7" s="193">
        <v>3</v>
      </c>
      <c r="K7" s="196">
        <v>34901888</v>
      </c>
      <c r="L7" s="196">
        <f>C72</f>
        <v>1.0273719740520015</v>
      </c>
      <c r="M7" s="196">
        <f>D72</f>
        <v>-0.2321607510152468</v>
      </c>
      <c r="N7" s="196">
        <f>L72</f>
        <v>1.0890336603802815</v>
      </c>
      <c r="O7" s="196">
        <f>M72</f>
        <v>1.394431447821141</v>
      </c>
      <c r="P7" s="197">
        <f>H64</f>
        <v>0.5</v>
      </c>
      <c r="Q7" s="197">
        <f>Q64</f>
        <v>2.2999999999999998</v>
      </c>
    </row>
    <row r="8" spans="1:17" x14ac:dyDescent="0.35">
      <c r="A8" t="s">
        <v>2</v>
      </c>
      <c r="D8" t="s">
        <v>10</v>
      </c>
      <c r="E8" s="234" t="s">
        <v>198</v>
      </c>
      <c r="F8" s="235" t="s">
        <v>211</v>
      </c>
      <c r="G8" s="138" t="s">
        <v>196</v>
      </c>
      <c r="I8" t="s">
        <v>213</v>
      </c>
      <c r="J8" s="193">
        <v>4</v>
      </c>
      <c r="K8" s="196">
        <v>15301</v>
      </c>
      <c r="L8" s="196">
        <f>C88</f>
        <v>0.97996162865060765</v>
      </c>
      <c r="M8" s="196">
        <f>D88</f>
        <v>0.56425069281602447</v>
      </c>
      <c r="N8" s="196">
        <f>L88</f>
        <v>0.98892357687225274</v>
      </c>
      <c r="O8" s="196">
        <f>M88</f>
        <v>13.209787334272846</v>
      </c>
      <c r="P8" s="197">
        <f>H64</f>
        <v>0.5</v>
      </c>
      <c r="Q8" s="197">
        <f>Q64</f>
        <v>2.2999999999999998</v>
      </c>
    </row>
    <row r="9" spans="1:17" x14ac:dyDescent="0.35">
      <c r="E9" s="234" t="s">
        <v>265</v>
      </c>
      <c r="F9" s="235" t="s">
        <v>223</v>
      </c>
      <c r="G9" s="138">
        <v>725</v>
      </c>
      <c r="I9" s="200">
        <v>45012</v>
      </c>
      <c r="J9" s="193">
        <v>5</v>
      </c>
      <c r="K9" s="196">
        <v>34902416</v>
      </c>
      <c r="L9" s="196">
        <f>C104</f>
        <v>1.0113252533280352</v>
      </c>
      <c r="M9" s="196">
        <f>D104</f>
        <v>-6.6759388038949652E-2</v>
      </c>
      <c r="N9" s="196">
        <f>L104</f>
        <v>0.97464941244504544</v>
      </c>
      <c r="O9" s="196">
        <f>M104</f>
        <v>8.8448294096700408</v>
      </c>
      <c r="P9" s="197">
        <f>H96</f>
        <v>0.5</v>
      </c>
      <c r="Q9" s="197">
        <f>Q96</f>
        <v>2.8</v>
      </c>
    </row>
    <row r="10" spans="1:17" x14ac:dyDescent="0.35">
      <c r="E10" s="234">
        <v>34901888</v>
      </c>
      <c r="F10" s="235" t="s">
        <v>211</v>
      </c>
      <c r="G10" s="138" t="s">
        <v>197</v>
      </c>
      <c r="I10" s="200">
        <v>44594</v>
      </c>
      <c r="J10" s="193">
        <v>6</v>
      </c>
      <c r="K10" s="196" t="s">
        <v>190</v>
      </c>
      <c r="L10" s="196">
        <f>C120</f>
        <v>0.96528773348100827</v>
      </c>
      <c r="M10" s="196">
        <f>D120</f>
        <v>0.78105963760953045</v>
      </c>
      <c r="N10" s="196">
        <f>L120</f>
        <v>0.99608491096133822</v>
      </c>
      <c r="O10" s="196">
        <f>M120</f>
        <v>6.5244700658184343</v>
      </c>
      <c r="P10" s="197">
        <f>H112</f>
        <v>0.5</v>
      </c>
      <c r="Q10" s="197">
        <f>Q112</f>
        <v>1.3</v>
      </c>
    </row>
    <row r="11" spans="1:17" x14ac:dyDescent="0.35">
      <c r="E11" s="141">
        <v>15301</v>
      </c>
      <c r="F11" s="235" t="s">
        <v>211</v>
      </c>
      <c r="G11" s="138" t="s">
        <v>196</v>
      </c>
      <c r="H11" s="190"/>
      <c r="I11" s="200">
        <v>44987</v>
      </c>
      <c r="J11" s="193">
        <v>7</v>
      </c>
      <c r="K11" s="196" t="s">
        <v>218</v>
      </c>
      <c r="L11" s="196">
        <f>C136</f>
        <v>1.075759332998286</v>
      </c>
      <c r="M11" s="196">
        <f>D136</f>
        <v>-1.0797025811523007</v>
      </c>
      <c r="N11" s="196">
        <f>L136</f>
        <v>0.99608491096133822</v>
      </c>
      <c r="O11" s="196">
        <f>M136</f>
        <v>6.5244700658184343</v>
      </c>
      <c r="P11" s="197">
        <f>H128</f>
        <v>0.5</v>
      </c>
      <c r="Q11" s="197">
        <f>Q128</f>
        <v>1.3</v>
      </c>
    </row>
    <row r="12" spans="1:17" x14ac:dyDescent="0.35">
      <c r="E12" s="141">
        <v>10050021</v>
      </c>
      <c r="F12" s="235" t="s">
        <v>223</v>
      </c>
      <c r="G12" s="138">
        <v>720</v>
      </c>
      <c r="H12" s="190"/>
      <c r="I12" s="200">
        <v>44987</v>
      </c>
      <c r="J12" s="193">
        <v>8</v>
      </c>
      <c r="K12" s="196">
        <v>10050021</v>
      </c>
      <c r="L12" s="196">
        <f>C152</f>
        <v>0.99730644190911444</v>
      </c>
      <c r="M12" s="196">
        <f>D152</f>
        <v>0.59062884646166935</v>
      </c>
      <c r="N12" s="196">
        <f>L152</f>
        <v>1.0810727007974772</v>
      </c>
      <c r="O12" s="196">
        <f>M152</f>
        <v>2.3942689432201476</v>
      </c>
      <c r="P12" s="197">
        <f>H144</f>
        <v>0.5</v>
      </c>
      <c r="Q12" s="197">
        <f>Q144</f>
        <v>2.2999999999999998</v>
      </c>
    </row>
    <row r="13" spans="1:17" x14ac:dyDescent="0.35">
      <c r="E13" s="141" t="s">
        <v>224</v>
      </c>
      <c r="F13" s="235" t="s">
        <v>223</v>
      </c>
      <c r="G13" s="138">
        <v>720</v>
      </c>
      <c r="H13" s="190"/>
      <c r="I13" s="200">
        <v>44987</v>
      </c>
      <c r="J13" s="193">
        <v>9</v>
      </c>
      <c r="K13" s="196" t="s">
        <v>224</v>
      </c>
      <c r="L13" s="196">
        <f>C168</f>
        <v>0.99772948247668691</v>
      </c>
      <c r="M13" s="196">
        <f>D168</f>
        <v>-9.1265413002155071E-2</v>
      </c>
      <c r="N13" s="196">
        <f>L168</f>
        <v>1.0810727007974772</v>
      </c>
      <c r="O13" s="196">
        <f>M168</f>
        <v>2.3942689432201476</v>
      </c>
      <c r="P13" s="197">
        <f>H160</f>
        <v>0.5</v>
      </c>
      <c r="Q13" s="197">
        <f>Q160</f>
        <v>2.2999999999999998</v>
      </c>
    </row>
    <row r="14" spans="1:17" x14ac:dyDescent="0.35">
      <c r="E14" s="141" t="s">
        <v>220</v>
      </c>
      <c r="F14" s="235" t="s">
        <v>220</v>
      </c>
      <c r="G14" s="138" t="s">
        <v>220</v>
      </c>
      <c r="H14" s="190"/>
      <c r="I14" s="200"/>
      <c r="J14" s="193"/>
      <c r="K14" s="196"/>
      <c r="L14" s="196"/>
      <c r="M14" s="196"/>
      <c r="N14" s="196"/>
      <c r="O14" s="196"/>
      <c r="P14" s="197"/>
      <c r="Q14" s="197"/>
    </row>
    <row r="15" spans="1:17" x14ac:dyDescent="0.35">
      <c r="E15" s="143">
        <v>34902416</v>
      </c>
      <c r="F15" s="235" t="s">
        <v>211</v>
      </c>
      <c r="G15" s="138" t="s">
        <v>197</v>
      </c>
      <c r="H15" s="189"/>
      <c r="I15" t="s">
        <v>213</v>
      </c>
      <c r="J15" s="609" t="str">
        <f>'LK isi'!T25</f>
        <v>117C21114</v>
      </c>
      <c r="K15" s="610"/>
      <c r="L15" s="192">
        <f>VLOOKUP(J15,K5:Q14,2,FALSE)</f>
        <v>1.0129963323233935</v>
      </c>
      <c r="M15" s="192">
        <f>VLOOKUP(J15,K5:Q14,3,FALSE)</f>
        <v>-0.31715151377087736</v>
      </c>
      <c r="N15" s="192">
        <f>VLOOKUP(J15,K5:Q14,4,FALSE)</f>
        <v>0.99280792636925996</v>
      </c>
      <c r="O15" s="192">
        <f>VLOOKUP(J15,K5:Q14,5,FALSE)</f>
        <v>1.4101493738369513</v>
      </c>
      <c r="P15" s="192">
        <f>VLOOKUP(J15,K5:Q14,6,FALSE)</f>
        <v>0.5</v>
      </c>
      <c r="Q15" s="192">
        <f>VLOOKUP(J15,K5:Q14,7,FALSE)</f>
        <v>2.2999999999999998</v>
      </c>
    </row>
    <row r="16" spans="1:17" ht="15" customHeight="1" x14ac:dyDescent="0.35">
      <c r="D16" t="s">
        <v>10</v>
      </c>
      <c r="E16" s="236" t="s">
        <v>190</v>
      </c>
      <c r="F16" s="138" t="s">
        <v>217</v>
      </c>
      <c r="G16" s="237">
        <v>720</v>
      </c>
      <c r="H16" s="185"/>
      <c r="I16" t="s">
        <v>214</v>
      </c>
    </row>
    <row r="17" spans="1:17" x14ac:dyDescent="0.35">
      <c r="E17" s="141" t="s">
        <v>218</v>
      </c>
      <c r="F17" s="138" t="s">
        <v>217</v>
      </c>
      <c r="G17" s="237">
        <v>720</v>
      </c>
      <c r="H17" s="185"/>
      <c r="I17" t="s">
        <v>214</v>
      </c>
    </row>
    <row r="18" spans="1:17" x14ac:dyDescent="0.35">
      <c r="E18" s="179"/>
      <c r="G18" s="200"/>
    </row>
    <row r="19" spans="1:17" x14ac:dyDescent="0.35">
      <c r="E19" s="189"/>
      <c r="F19" s="190"/>
      <c r="G19" s="200"/>
    </row>
    <row r="20" spans="1:17" x14ac:dyDescent="0.35">
      <c r="E20" s="189"/>
      <c r="F20" s="189"/>
    </row>
    <row r="21" spans="1:17" x14ac:dyDescent="0.35">
      <c r="E21" s="188"/>
      <c r="F21" s="185"/>
    </row>
    <row r="22" spans="1:17" x14ac:dyDescent="0.35">
      <c r="E22" s="188"/>
      <c r="F22" s="185"/>
    </row>
    <row r="23" spans="1:17" x14ac:dyDescent="0.35">
      <c r="E23" s="188"/>
      <c r="F23" s="185"/>
    </row>
    <row r="24" spans="1:17" s="20" customFormat="1" x14ac:dyDescent="0.35">
      <c r="A24" s="20" t="s">
        <v>81</v>
      </c>
      <c r="C24" s="20" t="s">
        <v>10</v>
      </c>
      <c r="D24" s="43">
        <v>2</v>
      </c>
      <c r="E24" s="44" t="str">
        <f>IF(D24=1,E26,IF(D24=2,E27,IF(D24=3,E28,"")))</f>
        <v>LK-032-IDN</v>
      </c>
    </row>
    <row r="25" spans="1:17" s="20" customFormat="1" x14ac:dyDescent="0.35">
      <c r="D25" s="45"/>
    </row>
    <row r="26" spans="1:17" s="20" customFormat="1" x14ac:dyDescent="0.35">
      <c r="D26" s="45">
        <v>1</v>
      </c>
      <c r="E26" s="20" t="s">
        <v>82</v>
      </c>
      <c r="G26" s="20" t="s">
        <v>91</v>
      </c>
    </row>
    <row r="27" spans="1:17" s="20" customFormat="1" x14ac:dyDescent="0.35">
      <c r="D27" s="45">
        <v>2</v>
      </c>
      <c r="E27" s="20" t="s">
        <v>88</v>
      </c>
      <c r="G27" s="20" t="s">
        <v>92</v>
      </c>
    </row>
    <row r="28" spans="1:17" s="20" customFormat="1" x14ac:dyDescent="0.35">
      <c r="D28" s="45">
        <v>3</v>
      </c>
      <c r="E28" s="20" t="s">
        <v>89</v>
      </c>
    </row>
    <row r="29" spans="1:17" x14ac:dyDescent="0.35">
      <c r="D29" s="10"/>
    </row>
    <row r="30" spans="1:17" x14ac:dyDescent="0.35">
      <c r="A30" s="11" t="s">
        <v>5</v>
      </c>
      <c r="B30" s="12"/>
      <c r="C30" s="12"/>
      <c r="D30" s="12"/>
      <c r="E30" s="12"/>
      <c r="F30" s="12"/>
      <c r="G30" s="12"/>
      <c r="I30" s="16" t="str">
        <f>K5</f>
        <v>117C21114</v>
      </c>
      <c r="J30" t="s">
        <v>6</v>
      </c>
      <c r="K30" s="16"/>
      <c r="L30" s="16"/>
      <c r="M30" s="12"/>
      <c r="N30" s="17"/>
      <c r="O30" s="16"/>
      <c r="P30" s="16"/>
    </row>
    <row r="31" spans="1:17" s="1" customFormat="1" x14ac:dyDescent="0.35">
      <c r="A31" s="39" t="s">
        <v>51</v>
      </c>
      <c r="B31" s="606" t="s">
        <v>52</v>
      </c>
      <c r="C31" s="606"/>
      <c r="D31" s="606" t="s">
        <v>53</v>
      </c>
      <c r="E31" s="606"/>
      <c r="F31" s="606" t="s">
        <v>54</v>
      </c>
      <c r="G31" s="606"/>
      <c r="H31" s="32" t="s">
        <v>86</v>
      </c>
      <c r="J31" s="38" t="s">
        <v>51</v>
      </c>
      <c r="K31" s="606" t="s">
        <v>52</v>
      </c>
      <c r="L31" s="606"/>
      <c r="M31" s="606" t="s">
        <v>53</v>
      </c>
      <c r="N31" s="606"/>
      <c r="O31" s="606" t="s">
        <v>54</v>
      </c>
      <c r="P31" s="606"/>
      <c r="Q31" s="32" t="s">
        <v>86</v>
      </c>
    </row>
    <row r="32" spans="1:17" x14ac:dyDescent="0.35">
      <c r="A32" s="13">
        <v>1</v>
      </c>
      <c r="B32" s="15">
        <f t="shared" ref="B32:B38" si="0">D32+F32</f>
        <v>15.2</v>
      </c>
      <c r="C32" s="33" t="s">
        <v>55</v>
      </c>
      <c r="D32" s="35">
        <v>15</v>
      </c>
      <c r="E32" s="33" t="str">
        <f t="shared" ref="E32:E38" si="1">$C$32</f>
        <v>°C</v>
      </c>
      <c r="F32" s="31">
        <v>0.2</v>
      </c>
      <c r="G32" s="33" t="str">
        <f t="shared" ref="G32:G38" si="2">$C$32</f>
        <v>°C</v>
      </c>
      <c r="H32" s="598">
        <v>0.5</v>
      </c>
      <c r="J32" s="13">
        <v>1</v>
      </c>
      <c r="K32" s="14">
        <f t="shared" ref="K32:K38" si="3">M32+O32</f>
        <v>29</v>
      </c>
      <c r="L32" s="18" t="s">
        <v>31</v>
      </c>
      <c r="M32" s="36">
        <v>30</v>
      </c>
      <c r="N32" s="18" t="str">
        <f t="shared" ref="N32:N38" si="4">$L$32</f>
        <v>%</v>
      </c>
      <c r="O32" s="37">
        <v>-1</v>
      </c>
      <c r="P32" s="18" t="str">
        <f t="shared" ref="P32:P38" si="5">$L$32</f>
        <v>%</v>
      </c>
      <c r="Q32" s="598">
        <v>2.2999999999999998</v>
      </c>
    </row>
    <row r="33" spans="1:17" x14ac:dyDescent="0.35">
      <c r="A33" s="13">
        <v>2</v>
      </c>
      <c r="B33" s="15">
        <f t="shared" si="0"/>
        <v>19.899999999999999</v>
      </c>
      <c r="C33" s="33" t="str">
        <f>$C$32</f>
        <v>°C</v>
      </c>
      <c r="D33" s="35">
        <v>20</v>
      </c>
      <c r="E33" s="33" t="str">
        <f t="shared" si="1"/>
        <v>°C</v>
      </c>
      <c r="F33" s="31">
        <v>-0.1</v>
      </c>
      <c r="G33" s="33" t="str">
        <f t="shared" si="2"/>
        <v>°C</v>
      </c>
      <c r="H33" s="599"/>
      <c r="J33" s="13">
        <v>2</v>
      </c>
      <c r="K33" s="14">
        <f t="shared" si="3"/>
        <v>38.700000000000003</v>
      </c>
      <c r="L33" s="18" t="str">
        <f t="shared" ref="L33:L38" si="6">$L$32</f>
        <v>%</v>
      </c>
      <c r="M33" s="36">
        <v>40</v>
      </c>
      <c r="N33" s="18" t="str">
        <f t="shared" si="4"/>
        <v>%</v>
      </c>
      <c r="O33" s="37">
        <v>-1.3</v>
      </c>
      <c r="P33" s="18" t="str">
        <f t="shared" si="5"/>
        <v>%</v>
      </c>
      <c r="Q33" s="599"/>
    </row>
    <row r="34" spans="1:17" x14ac:dyDescent="0.35">
      <c r="A34" s="13">
        <v>3</v>
      </c>
      <c r="B34" s="15">
        <f t="shared" si="0"/>
        <v>25</v>
      </c>
      <c r="C34" s="33" t="str">
        <f t="shared" ref="C34:C38" si="7">$C$32</f>
        <v>°C</v>
      </c>
      <c r="D34" s="35">
        <v>25</v>
      </c>
      <c r="E34" s="33" t="str">
        <f t="shared" si="1"/>
        <v>°C</v>
      </c>
      <c r="F34" s="31">
        <v>0</v>
      </c>
      <c r="G34" s="33" t="str">
        <f t="shared" si="2"/>
        <v>°C</v>
      </c>
      <c r="H34" s="599"/>
      <c r="J34" s="13">
        <v>3</v>
      </c>
      <c r="K34" s="14">
        <f t="shared" si="3"/>
        <v>48.7</v>
      </c>
      <c r="L34" s="18" t="str">
        <f t="shared" si="6"/>
        <v>%</v>
      </c>
      <c r="M34" s="36">
        <v>50</v>
      </c>
      <c r="N34" s="18" t="str">
        <f t="shared" si="4"/>
        <v>%</v>
      </c>
      <c r="O34" s="37">
        <v>-1.3</v>
      </c>
      <c r="P34" s="18" t="str">
        <f t="shared" si="5"/>
        <v>%</v>
      </c>
      <c r="Q34" s="599"/>
    </row>
    <row r="35" spans="1:17" x14ac:dyDescent="0.35">
      <c r="A35" s="13">
        <v>4</v>
      </c>
      <c r="B35" s="15">
        <f t="shared" si="0"/>
        <v>30</v>
      </c>
      <c r="C35" s="33" t="str">
        <f t="shared" si="7"/>
        <v>°C</v>
      </c>
      <c r="D35" s="35">
        <v>30</v>
      </c>
      <c r="E35" s="33" t="str">
        <f t="shared" si="1"/>
        <v>°C</v>
      </c>
      <c r="F35" s="31">
        <v>0</v>
      </c>
      <c r="G35" s="33" t="str">
        <f t="shared" si="2"/>
        <v>°C</v>
      </c>
      <c r="H35" s="599"/>
      <c r="J35" s="13">
        <v>4</v>
      </c>
      <c r="K35" s="14">
        <f t="shared" si="3"/>
        <v>59</v>
      </c>
      <c r="L35" s="18" t="str">
        <f t="shared" si="6"/>
        <v>%</v>
      </c>
      <c r="M35" s="36">
        <v>60</v>
      </c>
      <c r="N35" s="18" t="str">
        <f t="shared" si="4"/>
        <v>%</v>
      </c>
      <c r="O35" s="37">
        <v>-1</v>
      </c>
      <c r="P35" s="18" t="str">
        <f t="shared" si="5"/>
        <v>%</v>
      </c>
      <c r="Q35" s="599"/>
    </row>
    <row r="36" spans="1:17" x14ac:dyDescent="0.35">
      <c r="A36" s="13">
        <v>5</v>
      </c>
      <c r="B36" s="15">
        <f t="shared" si="0"/>
        <v>34.9</v>
      </c>
      <c r="C36" s="33" t="str">
        <f t="shared" si="7"/>
        <v>°C</v>
      </c>
      <c r="D36" s="35">
        <v>35</v>
      </c>
      <c r="E36" s="33" t="str">
        <f t="shared" si="1"/>
        <v>°C</v>
      </c>
      <c r="F36" s="31">
        <v>-0.1</v>
      </c>
      <c r="G36" s="33" t="str">
        <f t="shared" si="2"/>
        <v>°C</v>
      </c>
      <c r="H36" s="599"/>
      <c r="J36" s="13">
        <v>5</v>
      </c>
      <c r="K36" s="14">
        <f t="shared" si="3"/>
        <v>69.3</v>
      </c>
      <c r="L36" s="18" t="str">
        <f t="shared" si="6"/>
        <v>%</v>
      </c>
      <c r="M36" s="36">
        <v>70</v>
      </c>
      <c r="N36" s="18" t="str">
        <f t="shared" si="4"/>
        <v>%</v>
      </c>
      <c r="O36" s="37">
        <v>-0.7</v>
      </c>
      <c r="P36" s="18" t="str">
        <f t="shared" si="5"/>
        <v>%</v>
      </c>
      <c r="Q36" s="599"/>
    </row>
    <row r="37" spans="1:17" x14ac:dyDescent="0.35">
      <c r="A37" s="13">
        <v>6</v>
      </c>
      <c r="B37" s="15">
        <f t="shared" si="0"/>
        <v>36.9</v>
      </c>
      <c r="C37" s="33" t="str">
        <f t="shared" si="7"/>
        <v>°C</v>
      </c>
      <c r="D37" s="35">
        <v>37</v>
      </c>
      <c r="E37" s="33" t="str">
        <f t="shared" si="1"/>
        <v>°C</v>
      </c>
      <c r="F37" s="31">
        <v>-0.1</v>
      </c>
      <c r="G37" s="33" t="str">
        <f t="shared" si="2"/>
        <v>°C</v>
      </c>
      <c r="H37" s="599"/>
      <c r="J37" s="13">
        <v>6</v>
      </c>
      <c r="K37" s="14">
        <f t="shared" si="3"/>
        <v>79.400000000000006</v>
      </c>
      <c r="L37" s="18" t="str">
        <f t="shared" si="6"/>
        <v>%</v>
      </c>
      <c r="M37" s="36">
        <v>80</v>
      </c>
      <c r="N37" s="18" t="str">
        <f t="shared" si="4"/>
        <v>%</v>
      </c>
      <c r="O37" s="37">
        <v>-0.6</v>
      </c>
      <c r="P37" s="18" t="str">
        <f t="shared" si="5"/>
        <v>%</v>
      </c>
      <c r="Q37" s="599"/>
    </row>
    <row r="38" spans="1:17" x14ac:dyDescent="0.35">
      <c r="A38" s="13">
        <v>7</v>
      </c>
      <c r="B38" s="15">
        <f t="shared" si="0"/>
        <v>39.700000000000003</v>
      </c>
      <c r="C38" s="33" t="str">
        <f t="shared" si="7"/>
        <v>°C</v>
      </c>
      <c r="D38" s="35">
        <v>40</v>
      </c>
      <c r="E38" s="33" t="str">
        <f t="shared" si="1"/>
        <v>°C</v>
      </c>
      <c r="F38" s="31">
        <v>-0.3</v>
      </c>
      <c r="G38" s="33" t="str">
        <f t="shared" si="2"/>
        <v>°C</v>
      </c>
      <c r="H38" s="600"/>
      <c r="J38" s="13">
        <v>7</v>
      </c>
      <c r="K38" s="14">
        <f t="shared" si="3"/>
        <v>89</v>
      </c>
      <c r="L38" s="18" t="str">
        <f t="shared" si="6"/>
        <v>%</v>
      </c>
      <c r="M38" s="36">
        <v>90</v>
      </c>
      <c r="N38" s="18" t="str">
        <f t="shared" si="4"/>
        <v>%</v>
      </c>
      <c r="O38" s="37">
        <v>-1</v>
      </c>
      <c r="P38" s="18" t="str">
        <f t="shared" si="5"/>
        <v>%</v>
      </c>
      <c r="Q38" s="600"/>
    </row>
    <row r="39" spans="1:17" x14ac:dyDescent="0.35">
      <c r="F39" s="16"/>
      <c r="G39" s="16"/>
      <c r="K39" s="16"/>
      <c r="L39" s="16"/>
      <c r="M39" s="17"/>
      <c r="N39" s="17"/>
      <c r="O39" s="16"/>
      <c r="P39" s="16"/>
    </row>
    <row r="40" spans="1:17" x14ac:dyDescent="0.35">
      <c r="B40" s="51" t="s">
        <v>93</v>
      </c>
      <c r="C40" s="34">
        <f t="array" ref="C40:D44">LINEST(D32:D38,B32:B38,1,1)</f>
        <v>1.0129963323233935</v>
      </c>
      <c r="D40" s="34">
        <v>-0.31715151377087736</v>
      </c>
      <c r="E40" s="52" t="s">
        <v>98</v>
      </c>
      <c r="F40" s="16"/>
      <c r="G40" s="16"/>
      <c r="K40" s="51" t="s">
        <v>93</v>
      </c>
      <c r="L40" s="34">
        <f t="array" ref="L40:M44">LINEST(M32:M38,K32:K38,1,1)</f>
        <v>0.99280792636925996</v>
      </c>
      <c r="M40" s="34">
        <v>1.4101493738369513</v>
      </c>
      <c r="N40" s="52" t="s">
        <v>98</v>
      </c>
    </row>
    <row r="41" spans="1:17" x14ac:dyDescent="0.35">
      <c r="B41" s="51" t="s">
        <v>94</v>
      </c>
      <c r="C41" s="34">
        <v>4.5708324544218755E-3</v>
      </c>
      <c r="D41" s="34">
        <v>0.13720939921400094</v>
      </c>
      <c r="E41" s="52" t="s">
        <v>99</v>
      </c>
      <c r="F41" s="16"/>
      <c r="G41" s="16"/>
      <c r="K41" s="51" t="s">
        <v>94</v>
      </c>
      <c r="L41" s="34">
        <v>4.4532401792846E-3</v>
      </c>
      <c r="M41" s="34">
        <v>0.27769305382315107</v>
      </c>
      <c r="N41" s="52" t="s">
        <v>99</v>
      </c>
    </row>
    <row r="42" spans="1:17" x14ac:dyDescent="0.35">
      <c r="B42" s="51" t="s">
        <v>95</v>
      </c>
      <c r="C42" s="34">
        <v>0.99989821104529408</v>
      </c>
      <c r="D42" s="34">
        <v>0.10237848445286979</v>
      </c>
      <c r="E42" s="52" t="s">
        <v>100</v>
      </c>
      <c r="F42" s="16"/>
      <c r="G42" s="16"/>
      <c r="K42" s="51" t="s">
        <v>95</v>
      </c>
      <c r="L42" s="34">
        <v>0.99989941155761197</v>
      </c>
      <c r="M42" s="34">
        <v>0.23733842448551054</v>
      </c>
      <c r="N42" s="52" t="s">
        <v>100</v>
      </c>
    </row>
    <row r="43" spans="1:17" x14ac:dyDescent="0.35">
      <c r="B43" s="51" t="s">
        <v>96</v>
      </c>
      <c r="C43" s="34">
        <v>49116.24320799797</v>
      </c>
      <c r="D43" s="34">
        <v>5</v>
      </c>
      <c r="E43" s="52" t="s">
        <v>101</v>
      </c>
      <c r="F43" s="16"/>
      <c r="G43" s="16"/>
      <c r="K43" s="51" t="s">
        <v>96</v>
      </c>
      <c r="L43" s="34">
        <v>49702.499999998763</v>
      </c>
      <c r="M43" s="34">
        <v>5</v>
      </c>
      <c r="N43" s="52" t="s">
        <v>101</v>
      </c>
    </row>
    <row r="44" spans="1:17" x14ac:dyDescent="0.35">
      <c r="B44" s="51" t="s">
        <v>97</v>
      </c>
      <c r="C44" s="34">
        <v>514.80473608674856</v>
      </c>
      <c r="D44" s="34">
        <v>5.2406770394332503E-2</v>
      </c>
      <c r="E44" s="52" t="s">
        <v>102</v>
      </c>
      <c r="F44" s="16"/>
      <c r="G44" s="16"/>
      <c r="K44" s="51" t="s">
        <v>97</v>
      </c>
      <c r="L44" s="34">
        <v>2799.7183523613135</v>
      </c>
      <c r="M44" s="34">
        <v>0.28164763868632192</v>
      </c>
      <c r="N44" s="52" t="s">
        <v>102</v>
      </c>
    </row>
    <row r="45" spans="1:17" x14ac:dyDescent="0.35">
      <c r="F45" s="16"/>
      <c r="G45" s="16"/>
    </row>
    <row r="46" spans="1:17" x14ac:dyDescent="0.35">
      <c r="A46" s="11" t="s">
        <v>5</v>
      </c>
      <c r="B46" s="12"/>
      <c r="C46" s="12"/>
      <c r="D46" s="12"/>
      <c r="E46" s="12"/>
      <c r="F46" s="12"/>
      <c r="G46" s="12"/>
      <c r="I46" s="16" t="str">
        <f>K6</f>
        <v>021210-02</v>
      </c>
      <c r="J46" t="s">
        <v>6</v>
      </c>
      <c r="K46" s="16"/>
      <c r="L46" s="16"/>
      <c r="M46" s="12"/>
      <c r="N46" s="17"/>
      <c r="O46" s="16"/>
      <c r="P46" s="16"/>
    </row>
    <row r="47" spans="1:17" s="1" customFormat="1" x14ac:dyDescent="0.35">
      <c r="A47" s="39" t="s">
        <v>51</v>
      </c>
      <c r="B47" s="606" t="s">
        <v>52</v>
      </c>
      <c r="C47" s="606"/>
      <c r="D47" s="606" t="s">
        <v>53</v>
      </c>
      <c r="E47" s="606"/>
      <c r="F47" s="606" t="s">
        <v>54</v>
      </c>
      <c r="G47" s="606"/>
      <c r="H47" s="32" t="s">
        <v>86</v>
      </c>
      <c r="J47" s="38" t="s">
        <v>51</v>
      </c>
      <c r="K47" s="606" t="s">
        <v>52</v>
      </c>
      <c r="L47" s="606"/>
      <c r="M47" s="606" t="s">
        <v>53</v>
      </c>
      <c r="N47" s="606"/>
      <c r="O47" s="606" t="s">
        <v>54</v>
      </c>
      <c r="P47" s="606"/>
      <c r="Q47" s="32" t="s">
        <v>86</v>
      </c>
    </row>
    <row r="48" spans="1:17" x14ac:dyDescent="0.35">
      <c r="A48" s="13">
        <v>1</v>
      </c>
      <c r="B48" s="15">
        <f t="shared" ref="B48:B54" si="8">D48+F48</f>
        <v>15.2</v>
      </c>
      <c r="C48" s="33" t="s">
        <v>55</v>
      </c>
      <c r="D48" s="35">
        <v>15</v>
      </c>
      <c r="E48" s="33" t="str">
        <f t="shared" ref="E48:E54" si="9">$C$32</f>
        <v>°C</v>
      </c>
      <c r="F48" s="31">
        <v>0.2</v>
      </c>
      <c r="G48" s="33" t="str">
        <f t="shared" ref="G48:G54" si="10">$C$32</f>
        <v>°C</v>
      </c>
      <c r="H48" s="598">
        <v>0.5</v>
      </c>
      <c r="J48" s="13">
        <v>1</v>
      </c>
      <c r="K48" s="14">
        <f t="shared" ref="K48:K54" si="11">M48+O48</f>
        <v>18.8</v>
      </c>
      <c r="L48" s="18" t="s">
        <v>31</v>
      </c>
      <c r="M48" s="36">
        <v>30</v>
      </c>
      <c r="N48" s="18" t="str">
        <f t="shared" ref="N48:N54" si="12">$L$32</f>
        <v>%</v>
      </c>
      <c r="O48" s="37">
        <v>-11.2</v>
      </c>
      <c r="P48" s="18" t="str">
        <f t="shared" ref="P48:P54" si="13">$L$32</f>
        <v>%</v>
      </c>
      <c r="Q48" s="598">
        <v>2.2999999999999998</v>
      </c>
    </row>
    <row r="49" spans="1:17" x14ac:dyDescent="0.35">
      <c r="A49" s="13">
        <v>2</v>
      </c>
      <c r="B49" s="15">
        <f t="shared" si="8"/>
        <v>20</v>
      </c>
      <c r="C49" s="33" t="str">
        <f>$C$32</f>
        <v>°C</v>
      </c>
      <c r="D49" s="35">
        <v>20</v>
      </c>
      <c r="E49" s="33" t="str">
        <f t="shared" si="9"/>
        <v>°C</v>
      </c>
      <c r="F49" s="31">
        <v>0</v>
      </c>
      <c r="G49" s="33" t="str">
        <f t="shared" si="10"/>
        <v>°C</v>
      </c>
      <c r="H49" s="599"/>
      <c r="J49" s="13">
        <v>2</v>
      </c>
      <c r="K49" s="14">
        <f t="shared" si="11"/>
        <v>29.7</v>
      </c>
      <c r="L49" s="18" t="str">
        <f t="shared" ref="L49:L54" si="14">$L$32</f>
        <v>%</v>
      </c>
      <c r="M49" s="36">
        <v>40</v>
      </c>
      <c r="N49" s="18" t="str">
        <f t="shared" si="12"/>
        <v>%</v>
      </c>
      <c r="O49" s="37">
        <v>-10.3</v>
      </c>
      <c r="P49" s="18" t="str">
        <f t="shared" si="13"/>
        <v>%</v>
      </c>
      <c r="Q49" s="599"/>
    </row>
    <row r="50" spans="1:17" x14ac:dyDescent="0.35">
      <c r="A50" s="13">
        <v>3</v>
      </c>
      <c r="B50" s="15">
        <f t="shared" si="8"/>
        <v>24.8</v>
      </c>
      <c r="C50" s="33" t="str">
        <f t="shared" ref="C50:C54" si="15">$C$32</f>
        <v>°C</v>
      </c>
      <c r="D50" s="35">
        <v>25</v>
      </c>
      <c r="E50" s="33" t="str">
        <f t="shared" si="9"/>
        <v>°C</v>
      </c>
      <c r="F50" s="31">
        <v>-0.2</v>
      </c>
      <c r="G50" s="33" t="str">
        <f t="shared" si="10"/>
        <v>°C</v>
      </c>
      <c r="H50" s="599"/>
      <c r="J50" s="13">
        <v>3</v>
      </c>
      <c r="K50" s="14">
        <f t="shared" si="11"/>
        <v>40.4</v>
      </c>
      <c r="L50" s="18" t="str">
        <f t="shared" si="14"/>
        <v>%</v>
      </c>
      <c r="M50" s="36">
        <v>50</v>
      </c>
      <c r="N50" s="18" t="str">
        <f t="shared" si="12"/>
        <v>%</v>
      </c>
      <c r="O50" s="37">
        <v>-9.6</v>
      </c>
      <c r="P50" s="18" t="str">
        <f t="shared" si="13"/>
        <v>%</v>
      </c>
      <c r="Q50" s="599"/>
    </row>
    <row r="51" spans="1:17" x14ac:dyDescent="0.35">
      <c r="A51" s="13">
        <v>4</v>
      </c>
      <c r="B51" s="15">
        <f t="shared" si="8"/>
        <v>30</v>
      </c>
      <c r="C51" s="33" t="str">
        <f t="shared" si="15"/>
        <v>°C</v>
      </c>
      <c r="D51" s="35">
        <v>30</v>
      </c>
      <c r="E51" s="33" t="str">
        <f t="shared" si="9"/>
        <v>°C</v>
      </c>
      <c r="F51" s="31">
        <v>0</v>
      </c>
      <c r="G51" s="33" t="str">
        <f t="shared" si="10"/>
        <v>°C</v>
      </c>
      <c r="H51" s="599"/>
      <c r="J51" s="13">
        <v>4</v>
      </c>
      <c r="K51" s="14">
        <f t="shared" si="11"/>
        <v>51</v>
      </c>
      <c r="L51" s="18" t="str">
        <f t="shared" si="14"/>
        <v>%</v>
      </c>
      <c r="M51" s="36">
        <v>60</v>
      </c>
      <c r="N51" s="18" t="str">
        <f t="shared" si="12"/>
        <v>%</v>
      </c>
      <c r="O51" s="37">
        <v>-9</v>
      </c>
      <c r="P51" s="18" t="str">
        <f t="shared" si="13"/>
        <v>%</v>
      </c>
      <c r="Q51" s="599"/>
    </row>
    <row r="52" spans="1:17" x14ac:dyDescent="0.35">
      <c r="A52" s="13">
        <v>5</v>
      </c>
      <c r="B52" s="15">
        <f t="shared" si="8"/>
        <v>34.700000000000003</v>
      </c>
      <c r="C52" s="33" t="str">
        <f t="shared" si="15"/>
        <v>°C</v>
      </c>
      <c r="D52" s="35">
        <v>35</v>
      </c>
      <c r="E52" s="33" t="str">
        <f t="shared" si="9"/>
        <v>°C</v>
      </c>
      <c r="F52" s="31">
        <v>-0.3</v>
      </c>
      <c r="G52" s="33" t="str">
        <f t="shared" si="10"/>
        <v>°C</v>
      </c>
      <c r="H52" s="599"/>
      <c r="J52" s="13">
        <v>5</v>
      </c>
      <c r="K52" s="14">
        <f t="shared" si="11"/>
        <v>61.5</v>
      </c>
      <c r="L52" s="18" t="str">
        <f t="shared" si="14"/>
        <v>%</v>
      </c>
      <c r="M52" s="36">
        <v>70</v>
      </c>
      <c r="N52" s="18" t="str">
        <f t="shared" si="12"/>
        <v>%</v>
      </c>
      <c r="O52" s="37">
        <v>-8.5</v>
      </c>
      <c r="P52" s="18" t="str">
        <f t="shared" si="13"/>
        <v>%</v>
      </c>
      <c r="Q52" s="599"/>
    </row>
    <row r="53" spans="1:17" x14ac:dyDescent="0.35">
      <c r="A53" s="13">
        <v>6</v>
      </c>
      <c r="B53" s="15">
        <f t="shared" si="8"/>
        <v>36.700000000000003</v>
      </c>
      <c r="C53" s="33" t="str">
        <f t="shared" si="15"/>
        <v>°C</v>
      </c>
      <c r="D53" s="35">
        <v>37</v>
      </c>
      <c r="E53" s="33" t="str">
        <f t="shared" si="9"/>
        <v>°C</v>
      </c>
      <c r="F53" s="31">
        <v>-0.3</v>
      </c>
      <c r="G53" s="33" t="str">
        <f t="shared" si="10"/>
        <v>°C</v>
      </c>
      <c r="H53" s="599"/>
      <c r="J53" s="13">
        <v>6</v>
      </c>
      <c r="K53" s="14">
        <f t="shared" si="11"/>
        <v>71.8</v>
      </c>
      <c r="L53" s="18" t="str">
        <f t="shared" si="14"/>
        <v>%</v>
      </c>
      <c r="M53" s="36">
        <v>80</v>
      </c>
      <c r="N53" s="18" t="str">
        <f t="shared" si="12"/>
        <v>%</v>
      </c>
      <c r="O53" s="37">
        <v>-8.1999999999999993</v>
      </c>
      <c r="P53" s="18" t="str">
        <f t="shared" si="13"/>
        <v>%</v>
      </c>
      <c r="Q53" s="599"/>
    </row>
    <row r="54" spans="1:17" x14ac:dyDescent="0.35">
      <c r="A54" s="13">
        <v>7</v>
      </c>
      <c r="B54" s="15">
        <f t="shared" si="8"/>
        <v>39.700000000000003</v>
      </c>
      <c r="C54" s="33" t="str">
        <f t="shared" si="15"/>
        <v>°C</v>
      </c>
      <c r="D54" s="35">
        <v>40</v>
      </c>
      <c r="E54" s="33" t="str">
        <f t="shared" si="9"/>
        <v>°C</v>
      </c>
      <c r="F54" s="31">
        <v>-0.3</v>
      </c>
      <c r="G54" s="33" t="str">
        <f t="shared" si="10"/>
        <v>°C</v>
      </c>
      <c r="H54" s="600"/>
      <c r="J54" s="13">
        <v>7</v>
      </c>
      <c r="K54" s="14">
        <f t="shared" si="11"/>
        <v>82</v>
      </c>
      <c r="L54" s="18" t="str">
        <f t="shared" si="14"/>
        <v>%</v>
      </c>
      <c r="M54" s="36">
        <v>90</v>
      </c>
      <c r="N54" s="18" t="str">
        <f t="shared" si="12"/>
        <v>%</v>
      </c>
      <c r="O54" s="37">
        <v>-8</v>
      </c>
      <c r="P54" s="18" t="str">
        <f t="shared" si="13"/>
        <v>%</v>
      </c>
      <c r="Q54" s="600"/>
    </row>
    <row r="55" spans="1:17" x14ac:dyDescent="0.35">
      <c r="F55" s="16"/>
      <c r="G55" s="16"/>
      <c r="K55" s="16"/>
      <c r="L55" s="16"/>
      <c r="M55" s="17"/>
      <c r="N55" s="17"/>
      <c r="O55" s="16"/>
      <c r="P55" s="16"/>
    </row>
    <row r="56" spans="1:17" x14ac:dyDescent="0.35">
      <c r="B56" s="51" t="s">
        <v>93</v>
      </c>
      <c r="C56" s="34">
        <f t="array" ref="C56:D60">LINEST(D48:D54,B48:B54,1,1)</f>
        <v>1.0189464221917461</v>
      </c>
      <c r="D56" s="34">
        <v>-0.4157322146800233</v>
      </c>
      <c r="E56" s="52" t="s">
        <v>98</v>
      </c>
      <c r="F56" s="16"/>
      <c r="G56" s="16"/>
      <c r="K56" s="51" t="s">
        <v>93</v>
      </c>
      <c r="L56" s="34">
        <f t="array" ref="L56:M60">LINEST(M48:M54,K48:K54,1,1)</f>
        <v>0.94935573683489216</v>
      </c>
      <c r="M56" s="34">
        <v>11.826977468035189</v>
      </c>
      <c r="N56" s="52" t="s">
        <v>98</v>
      </c>
    </row>
    <row r="57" spans="1:17" x14ac:dyDescent="0.35">
      <c r="B57" s="51" t="s">
        <v>94</v>
      </c>
      <c r="C57" s="34">
        <v>4.7653159843808676E-3</v>
      </c>
      <c r="D57" s="34">
        <v>0.14265451440811286</v>
      </c>
      <c r="E57" s="52" t="s">
        <v>99</v>
      </c>
      <c r="F57" s="16"/>
      <c r="G57" s="16"/>
      <c r="K57" s="51" t="s">
        <v>94</v>
      </c>
      <c r="L57" s="34">
        <v>4.7466146624331523E-3</v>
      </c>
      <c r="M57" s="34">
        <v>0.26078737011684988</v>
      </c>
      <c r="N57" s="52" t="s">
        <v>99</v>
      </c>
    </row>
    <row r="58" spans="1:17" x14ac:dyDescent="0.35">
      <c r="B58" s="51" t="s">
        <v>95</v>
      </c>
      <c r="C58" s="34">
        <v>0.99989065391879284</v>
      </c>
      <c r="D58" s="34">
        <v>0.10611089572043919</v>
      </c>
      <c r="E58" s="52" t="s">
        <v>100</v>
      </c>
      <c r="F58" s="16"/>
      <c r="G58" s="16"/>
      <c r="K58" s="51" t="s">
        <v>95</v>
      </c>
      <c r="L58" s="34">
        <v>0.9998750242593204</v>
      </c>
      <c r="M58" s="34">
        <v>0.2645494562091763</v>
      </c>
      <c r="N58" s="52" t="s">
        <v>100</v>
      </c>
    </row>
    <row r="59" spans="1:17" x14ac:dyDescent="0.35">
      <c r="B59" s="51" t="s">
        <v>96</v>
      </c>
      <c r="C59" s="34">
        <v>45721.375785932454</v>
      </c>
      <c r="D59" s="34">
        <v>5</v>
      </c>
      <c r="E59" s="52" t="s">
        <v>101</v>
      </c>
      <c r="F59" s="16"/>
      <c r="G59" s="16"/>
      <c r="K59" s="51" t="s">
        <v>96</v>
      </c>
      <c r="L59" s="34">
        <v>40002.764489420806</v>
      </c>
      <c r="M59" s="34">
        <v>5</v>
      </c>
      <c r="N59" s="52" t="s">
        <v>101</v>
      </c>
    </row>
    <row r="60" spans="1:17" x14ac:dyDescent="0.35">
      <c r="B60" s="51" t="s">
        <v>97</v>
      </c>
      <c r="C60" s="34">
        <v>514.80084524618997</v>
      </c>
      <c r="D60" s="34">
        <v>5.6297610952969604E-2</v>
      </c>
      <c r="E60" s="52" t="s">
        <v>102</v>
      </c>
      <c r="F60" s="16"/>
      <c r="G60" s="16"/>
      <c r="K60" s="51" t="s">
        <v>97</v>
      </c>
      <c r="L60" s="34">
        <v>2799.6500679260971</v>
      </c>
      <c r="M60" s="34">
        <v>0.34993207390285447</v>
      </c>
      <c r="N60" s="52" t="s">
        <v>102</v>
      </c>
    </row>
    <row r="62" spans="1:17" x14ac:dyDescent="0.35">
      <c r="A62" s="11" t="s">
        <v>5</v>
      </c>
      <c r="B62" s="12"/>
      <c r="C62" s="12"/>
      <c r="D62" s="12"/>
      <c r="E62" s="12"/>
      <c r="F62" s="12"/>
      <c r="G62" s="12"/>
      <c r="I62" s="16">
        <f>K7</f>
        <v>34901888</v>
      </c>
      <c r="J62" t="s">
        <v>6</v>
      </c>
      <c r="K62" s="16"/>
      <c r="L62" s="16"/>
      <c r="M62" s="12"/>
      <c r="N62" s="17"/>
      <c r="O62" s="16"/>
      <c r="P62" s="16"/>
    </row>
    <row r="63" spans="1:17" x14ac:dyDescent="0.35">
      <c r="A63" s="39" t="s">
        <v>51</v>
      </c>
      <c r="B63" s="606" t="s">
        <v>52</v>
      </c>
      <c r="C63" s="606"/>
      <c r="D63" s="606" t="s">
        <v>53</v>
      </c>
      <c r="E63" s="606"/>
      <c r="F63" s="606" t="s">
        <v>54</v>
      </c>
      <c r="G63" s="606"/>
      <c r="H63" s="32" t="s">
        <v>86</v>
      </c>
      <c r="I63" s="1"/>
      <c r="J63" s="38" t="s">
        <v>51</v>
      </c>
      <c r="K63" s="606" t="s">
        <v>52</v>
      </c>
      <c r="L63" s="606"/>
      <c r="M63" s="606" t="s">
        <v>53</v>
      </c>
      <c r="N63" s="606"/>
      <c r="O63" s="606" t="s">
        <v>54</v>
      </c>
      <c r="P63" s="606"/>
      <c r="Q63" s="32" t="s">
        <v>86</v>
      </c>
    </row>
    <row r="64" spans="1:17" x14ac:dyDescent="0.35">
      <c r="A64" s="13">
        <v>1</v>
      </c>
      <c r="B64" s="15">
        <f t="shared" ref="B64:B70" si="16">D64+F64</f>
        <v>14.6</v>
      </c>
      <c r="C64" s="33" t="s">
        <v>55</v>
      </c>
      <c r="D64" s="35">
        <v>15</v>
      </c>
      <c r="E64" s="33" t="str">
        <f t="shared" ref="E64:E70" si="17">$C$32</f>
        <v>°C</v>
      </c>
      <c r="F64" s="31">
        <v>-0.4</v>
      </c>
      <c r="G64" s="33" t="str">
        <f t="shared" ref="G64:G70" si="18">$C$32</f>
        <v>°C</v>
      </c>
      <c r="H64" s="598">
        <v>0.5</v>
      </c>
      <c r="J64" s="13">
        <v>1</v>
      </c>
      <c r="K64" s="14">
        <f t="shared" ref="K64:K70" si="19">M64+O64</f>
        <v>26.1</v>
      </c>
      <c r="L64" s="18" t="s">
        <v>31</v>
      </c>
      <c r="M64" s="36">
        <v>30</v>
      </c>
      <c r="N64" s="18" t="str">
        <f t="shared" ref="N64:N70" si="20">$L$32</f>
        <v>%</v>
      </c>
      <c r="O64" s="37">
        <v>-3.9</v>
      </c>
      <c r="P64" s="18" t="str">
        <f t="shared" ref="P64:P70" si="21">$L$32</f>
        <v>%</v>
      </c>
      <c r="Q64" s="598">
        <v>2.2999999999999998</v>
      </c>
    </row>
    <row r="65" spans="1:17" x14ac:dyDescent="0.35">
      <c r="A65" s="13">
        <v>2</v>
      </c>
      <c r="B65" s="15">
        <f t="shared" si="16"/>
        <v>19.7</v>
      </c>
      <c r="C65" s="33" t="str">
        <f>$C$32</f>
        <v>°C</v>
      </c>
      <c r="D65" s="35">
        <v>20</v>
      </c>
      <c r="E65" s="33" t="str">
        <f t="shared" si="17"/>
        <v>°C</v>
      </c>
      <c r="F65" s="31">
        <v>-0.3</v>
      </c>
      <c r="G65" s="33" t="str">
        <f t="shared" si="18"/>
        <v>°C</v>
      </c>
      <c r="H65" s="599"/>
      <c r="J65" s="13">
        <v>2</v>
      </c>
      <c r="K65" s="14">
        <f t="shared" si="19"/>
        <v>35.5</v>
      </c>
      <c r="L65" s="18" t="str">
        <f t="shared" ref="L65:L70" si="22">$L$32</f>
        <v>%</v>
      </c>
      <c r="M65" s="36">
        <v>40</v>
      </c>
      <c r="N65" s="18" t="str">
        <f t="shared" si="20"/>
        <v>%</v>
      </c>
      <c r="O65" s="37">
        <v>-4.5</v>
      </c>
      <c r="P65" s="18" t="str">
        <f t="shared" si="21"/>
        <v>%</v>
      </c>
      <c r="Q65" s="599"/>
    </row>
    <row r="66" spans="1:17" x14ac:dyDescent="0.35">
      <c r="A66" s="13">
        <v>3</v>
      </c>
      <c r="B66" s="15">
        <f t="shared" si="16"/>
        <v>24.8</v>
      </c>
      <c r="C66" s="33" t="str">
        <f t="shared" ref="C66:C70" si="23">$C$32</f>
        <v>°C</v>
      </c>
      <c r="D66" s="35">
        <v>25</v>
      </c>
      <c r="E66" s="33" t="str">
        <f t="shared" si="17"/>
        <v>°C</v>
      </c>
      <c r="F66" s="31">
        <v>-0.2</v>
      </c>
      <c r="G66" s="33" t="str">
        <f t="shared" si="18"/>
        <v>°C</v>
      </c>
      <c r="H66" s="599"/>
      <c r="J66" s="13">
        <v>3</v>
      </c>
      <c r="K66" s="14">
        <f t="shared" si="19"/>
        <v>44.7</v>
      </c>
      <c r="L66" s="18" t="str">
        <f t="shared" si="22"/>
        <v>%</v>
      </c>
      <c r="M66" s="36">
        <v>50</v>
      </c>
      <c r="N66" s="18" t="str">
        <f t="shared" si="20"/>
        <v>%</v>
      </c>
      <c r="O66" s="37">
        <v>-5.3</v>
      </c>
      <c r="P66" s="18" t="str">
        <f t="shared" si="21"/>
        <v>%</v>
      </c>
      <c r="Q66" s="599"/>
    </row>
    <row r="67" spans="1:17" x14ac:dyDescent="0.35">
      <c r="A67" s="13">
        <v>4</v>
      </c>
      <c r="B67" s="15">
        <f t="shared" si="16"/>
        <v>29.6</v>
      </c>
      <c r="C67" s="33" t="str">
        <f t="shared" si="23"/>
        <v>°C</v>
      </c>
      <c r="D67" s="35">
        <v>30</v>
      </c>
      <c r="E67" s="33" t="str">
        <f t="shared" si="17"/>
        <v>°C</v>
      </c>
      <c r="F67" s="31">
        <v>-0.4</v>
      </c>
      <c r="G67" s="33" t="str">
        <f t="shared" si="18"/>
        <v>°C</v>
      </c>
      <c r="H67" s="599"/>
      <c r="J67" s="13">
        <v>4</v>
      </c>
      <c r="K67" s="14">
        <f t="shared" si="19"/>
        <v>53.9</v>
      </c>
      <c r="L67" s="18" t="str">
        <f t="shared" si="22"/>
        <v>%</v>
      </c>
      <c r="M67" s="36">
        <v>60</v>
      </c>
      <c r="N67" s="18" t="str">
        <f t="shared" si="20"/>
        <v>%</v>
      </c>
      <c r="O67" s="37">
        <v>-6.1</v>
      </c>
      <c r="P67" s="18" t="str">
        <f t="shared" si="21"/>
        <v>%</v>
      </c>
      <c r="Q67" s="599"/>
    </row>
    <row r="68" spans="1:17" x14ac:dyDescent="0.35">
      <c r="A68" s="13">
        <v>5</v>
      </c>
      <c r="B68" s="15">
        <f t="shared" si="16"/>
        <v>34.4</v>
      </c>
      <c r="C68" s="33" t="str">
        <f t="shared" si="23"/>
        <v>°C</v>
      </c>
      <c r="D68" s="35">
        <v>35</v>
      </c>
      <c r="E68" s="33" t="str">
        <f t="shared" si="17"/>
        <v>°C</v>
      </c>
      <c r="F68" s="31">
        <v>-0.6</v>
      </c>
      <c r="G68" s="33" t="str">
        <f t="shared" si="18"/>
        <v>°C</v>
      </c>
      <c r="H68" s="599"/>
      <c r="J68" s="13">
        <v>5</v>
      </c>
      <c r="K68" s="14">
        <f t="shared" si="19"/>
        <v>63.1</v>
      </c>
      <c r="L68" s="18" t="str">
        <f t="shared" si="22"/>
        <v>%</v>
      </c>
      <c r="M68" s="36">
        <v>70</v>
      </c>
      <c r="N68" s="18" t="str">
        <f t="shared" si="20"/>
        <v>%</v>
      </c>
      <c r="O68" s="37">
        <v>-6.9</v>
      </c>
      <c r="P68" s="18" t="str">
        <f t="shared" si="21"/>
        <v>%</v>
      </c>
      <c r="Q68" s="599"/>
    </row>
    <row r="69" spans="1:17" x14ac:dyDescent="0.35">
      <c r="A69" s="13">
        <v>6</v>
      </c>
      <c r="B69" s="15">
        <f t="shared" si="16"/>
        <v>36.200000000000003</v>
      </c>
      <c r="C69" s="33" t="str">
        <f t="shared" si="23"/>
        <v>°C</v>
      </c>
      <c r="D69" s="35">
        <v>37</v>
      </c>
      <c r="E69" s="33" t="str">
        <f t="shared" si="17"/>
        <v>°C</v>
      </c>
      <c r="F69" s="31">
        <v>-0.8</v>
      </c>
      <c r="G69" s="33" t="str">
        <f t="shared" si="18"/>
        <v>°C</v>
      </c>
      <c r="H69" s="599"/>
      <c r="J69" s="13">
        <v>6</v>
      </c>
      <c r="K69" s="14">
        <f t="shared" si="19"/>
        <v>72.2</v>
      </c>
      <c r="L69" s="18" t="str">
        <f t="shared" si="22"/>
        <v>%</v>
      </c>
      <c r="M69" s="36">
        <v>80</v>
      </c>
      <c r="N69" s="18" t="str">
        <f t="shared" si="20"/>
        <v>%</v>
      </c>
      <c r="O69" s="37">
        <v>-7.8</v>
      </c>
      <c r="P69" s="18" t="str">
        <f t="shared" si="21"/>
        <v>%</v>
      </c>
      <c r="Q69" s="599"/>
    </row>
    <row r="70" spans="1:17" x14ac:dyDescent="0.35">
      <c r="A70" s="13">
        <v>7</v>
      </c>
      <c r="B70" s="15">
        <f t="shared" si="16"/>
        <v>38.9</v>
      </c>
      <c r="C70" s="33" t="str">
        <f t="shared" si="23"/>
        <v>°C</v>
      </c>
      <c r="D70" s="35">
        <v>40</v>
      </c>
      <c r="E70" s="33" t="str">
        <f t="shared" si="17"/>
        <v>°C</v>
      </c>
      <c r="F70" s="31">
        <v>-1.1000000000000001</v>
      </c>
      <c r="G70" s="33" t="str">
        <f t="shared" si="18"/>
        <v>°C</v>
      </c>
      <c r="H70" s="600"/>
      <c r="J70" s="13">
        <v>7</v>
      </c>
      <c r="K70" s="14">
        <f t="shared" si="19"/>
        <v>81.2</v>
      </c>
      <c r="L70" s="18" t="str">
        <f t="shared" si="22"/>
        <v>%</v>
      </c>
      <c r="M70" s="36">
        <v>90</v>
      </c>
      <c r="N70" s="18" t="str">
        <f t="shared" si="20"/>
        <v>%</v>
      </c>
      <c r="O70" s="37">
        <v>-8.8000000000000007</v>
      </c>
      <c r="P70" s="18" t="str">
        <f t="shared" si="21"/>
        <v>%</v>
      </c>
      <c r="Q70" s="600"/>
    </row>
    <row r="71" spans="1:17" x14ac:dyDescent="0.35">
      <c r="F71" s="16"/>
      <c r="G71" s="16"/>
      <c r="K71" s="16"/>
      <c r="L71" s="16"/>
      <c r="M71" s="17"/>
      <c r="N71" s="17"/>
      <c r="O71" s="16"/>
      <c r="P71" s="16"/>
    </row>
    <row r="72" spans="1:17" x14ac:dyDescent="0.35">
      <c r="B72" s="51" t="s">
        <v>93</v>
      </c>
      <c r="C72" s="34">
        <f t="array" ref="C72:D76">LINEST(D64:D70,B64:B70,1,1)</f>
        <v>1.0273719740520015</v>
      </c>
      <c r="D72" s="34">
        <v>-0.2321607510152468</v>
      </c>
      <c r="E72" s="52" t="s">
        <v>98</v>
      </c>
      <c r="F72" s="16"/>
      <c r="G72" s="16"/>
      <c r="K72" s="51" t="s">
        <v>93</v>
      </c>
      <c r="L72" s="34">
        <f t="array" ref="L72:M76">LINEST(M64:M70,K64:K70,1,1)</f>
        <v>1.0890336603802815</v>
      </c>
      <c r="M72" s="34">
        <v>1.394431447821141</v>
      </c>
      <c r="N72" s="52" t="s">
        <v>98</v>
      </c>
    </row>
    <row r="73" spans="1:17" x14ac:dyDescent="0.35">
      <c r="B73" s="51" t="s">
        <v>94</v>
      </c>
      <c r="C73" s="34">
        <v>9.7520376416934691E-3</v>
      </c>
      <c r="D73" s="34">
        <v>0.28786710664023163</v>
      </c>
      <c r="E73" s="52" t="s">
        <v>99</v>
      </c>
      <c r="F73" s="16"/>
      <c r="G73" s="16"/>
      <c r="K73" s="51" t="s">
        <v>94</v>
      </c>
      <c r="L73" s="34">
        <v>2.8288287426813086E-3</v>
      </c>
      <c r="M73" s="34">
        <v>0.1608515831598005</v>
      </c>
      <c r="N73" s="52" t="s">
        <v>99</v>
      </c>
    </row>
    <row r="74" spans="1:17" x14ac:dyDescent="0.35">
      <c r="B74" s="51" t="s">
        <v>95</v>
      </c>
      <c r="C74" s="34">
        <v>0.99954969195780741</v>
      </c>
      <c r="D74" s="34">
        <v>0.21533430382029681</v>
      </c>
      <c r="E74" s="52" t="s">
        <v>100</v>
      </c>
      <c r="F74" s="16"/>
      <c r="G74" s="16"/>
      <c r="K74" s="51" t="s">
        <v>95</v>
      </c>
      <c r="L74" s="34">
        <v>0.99996626458489413</v>
      </c>
      <c r="M74" s="34">
        <v>0.13744756258056623</v>
      </c>
      <c r="N74" s="52" t="s">
        <v>100</v>
      </c>
    </row>
    <row r="75" spans="1:17" x14ac:dyDescent="0.35">
      <c r="B75" s="51" t="s">
        <v>96</v>
      </c>
      <c r="C75" s="34">
        <v>11098.510334069973</v>
      </c>
      <c r="D75" s="34">
        <v>5</v>
      </c>
      <c r="E75" s="52" t="s">
        <v>101</v>
      </c>
      <c r="F75" s="16"/>
      <c r="G75" s="16"/>
      <c r="K75" s="51" t="s">
        <v>96</v>
      </c>
      <c r="L75" s="34">
        <v>148207.19730941957</v>
      </c>
      <c r="M75" s="34">
        <v>5</v>
      </c>
      <c r="N75" s="52" t="s">
        <v>101</v>
      </c>
    </row>
    <row r="76" spans="1:17" x14ac:dyDescent="0.35">
      <c r="B76" s="51" t="s">
        <v>97</v>
      </c>
      <c r="C76" s="34">
        <v>514.625298545134</v>
      </c>
      <c r="D76" s="34">
        <v>0.23184431200885944</v>
      </c>
      <c r="E76" s="52" t="s">
        <v>102</v>
      </c>
      <c r="F76" s="16"/>
      <c r="G76" s="16"/>
      <c r="K76" s="51" t="s">
        <v>97</v>
      </c>
      <c r="L76" s="34">
        <v>2799.9055408377035</v>
      </c>
      <c r="M76" s="34">
        <v>9.445916229669335E-2</v>
      </c>
      <c r="N76" s="52" t="s">
        <v>102</v>
      </c>
    </row>
    <row r="78" spans="1:17" x14ac:dyDescent="0.35">
      <c r="A78" s="11" t="s">
        <v>5</v>
      </c>
      <c r="B78" s="12"/>
      <c r="C78" s="12"/>
      <c r="D78" s="12"/>
      <c r="E78" s="12"/>
      <c r="F78" s="12"/>
      <c r="G78" s="12"/>
      <c r="I78" s="16">
        <f>K8</f>
        <v>15301</v>
      </c>
      <c r="J78" t="s">
        <v>6</v>
      </c>
      <c r="K78" s="16"/>
      <c r="L78" s="16"/>
      <c r="M78" s="12"/>
      <c r="N78" s="17"/>
      <c r="O78" s="16"/>
      <c r="P78" s="16"/>
    </row>
    <row r="79" spans="1:17" x14ac:dyDescent="0.35">
      <c r="A79" s="39" t="s">
        <v>51</v>
      </c>
      <c r="B79" s="606" t="s">
        <v>52</v>
      </c>
      <c r="C79" s="606"/>
      <c r="D79" s="606" t="s">
        <v>53</v>
      </c>
      <c r="E79" s="606"/>
      <c r="F79" s="606" t="s">
        <v>54</v>
      </c>
      <c r="G79" s="606"/>
      <c r="H79" s="32" t="s">
        <v>86</v>
      </c>
      <c r="I79" s="1"/>
      <c r="J79" s="38" t="s">
        <v>51</v>
      </c>
      <c r="K79" s="606" t="s">
        <v>52</v>
      </c>
      <c r="L79" s="606"/>
      <c r="M79" s="606" t="s">
        <v>53</v>
      </c>
      <c r="N79" s="606"/>
      <c r="O79" s="606" t="s">
        <v>54</v>
      </c>
      <c r="P79" s="606"/>
      <c r="Q79" s="32" t="s">
        <v>86</v>
      </c>
    </row>
    <row r="80" spans="1:17" x14ac:dyDescent="0.35">
      <c r="A80" s="13">
        <v>1</v>
      </c>
      <c r="B80" s="15">
        <f t="shared" ref="B80:B86" si="24">D80+F80</f>
        <v>14.8</v>
      </c>
      <c r="C80" s="33" t="s">
        <v>55</v>
      </c>
      <c r="D80" s="35">
        <v>15</v>
      </c>
      <c r="E80" s="33" t="str">
        <f t="shared" ref="E80:E86" si="25">$C$32</f>
        <v>°C</v>
      </c>
      <c r="F80" s="31">
        <v>-0.2</v>
      </c>
      <c r="G80" s="33" t="str">
        <f t="shared" ref="G80:G86" si="26">$C$32</f>
        <v>°C</v>
      </c>
      <c r="H80" s="598">
        <v>0.4</v>
      </c>
      <c r="J80" s="13">
        <v>1</v>
      </c>
      <c r="K80" s="14">
        <f t="shared" ref="K80:K86" si="27">M80+O80</f>
        <v>17.3</v>
      </c>
      <c r="L80" s="18" t="s">
        <v>31</v>
      </c>
      <c r="M80" s="36">
        <v>30</v>
      </c>
      <c r="N80" s="18" t="str">
        <f t="shared" ref="N80:N86" si="28">$L$32</f>
        <v>%</v>
      </c>
      <c r="O80" s="37">
        <v>-12.7</v>
      </c>
      <c r="P80" s="18" t="str">
        <f t="shared" ref="P80:P86" si="29">$L$32</f>
        <v>%</v>
      </c>
      <c r="Q80" s="598">
        <v>2.5</v>
      </c>
    </row>
    <row r="81" spans="1:17" x14ac:dyDescent="0.35">
      <c r="A81" s="13">
        <v>2</v>
      </c>
      <c r="B81" s="15">
        <f t="shared" si="24"/>
        <v>19.8</v>
      </c>
      <c r="C81" s="33" t="str">
        <f>$C$32</f>
        <v>°C</v>
      </c>
      <c r="D81" s="35">
        <v>20</v>
      </c>
      <c r="E81" s="33" t="str">
        <f t="shared" si="25"/>
        <v>°C</v>
      </c>
      <c r="F81" s="31">
        <v>-0.2</v>
      </c>
      <c r="G81" s="33" t="str">
        <f t="shared" si="26"/>
        <v>°C</v>
      </c>
      <c r="H81" s="599"/>
      <c r="J81" s="13">
        <v>2</v>
      </c>
      <c r="K81" s="14">
        <f t="shared" si="27"/>
        <v>27.1</v>
      </c>
      <c r="L81" s="18" t="str">
        <f t="shared" ref="L81:L86" si="30">$L$32</f>
        <v>%</v>
      </c>
      <c r="M81" s="36">
        <v>40</v>
      </c>
      <c r="N81" s="18" t="str">
        <f t="shared" si="28"/>
        <v>%</v>
      </c>
      <c r="O81" s="37">
        <v>-12.9</v>
      </c>
      <c r="P81" s="18" t="str">
        <f t="shared" si="29"/>
        <v>%</v>
      </c>
      <c r="Q81" s="599"/>
    </row>
    <row r="82" spans="1:17" x14ac:dyDescent="0.35">
      <c r="A82" s="13">
        <v>3</v>
      </c>
      <c r="B82" s="15">
        <f t="shared" si="24"/>
        <v>24.9</v>
      </c>
      <c r="C82" s="33" t="str">
        <f t="shared" ref="C82:C86" si="31">$C$32</f>
        <v>°C</v>
      </c>
      <c r="D82" s="35">
        <v>25</v>
      </c>
      <c r="E82" s="33" t="str">
        <f t="shared" si="25"/>
        <v>°C</v>
      </c>
      <c r="F82" s="31">
        <v>-0.1</v>
      </c>
      <c r="G82" s="33" t="str">
        <f t="shared" si="26"/>
        <v>°C</v>
      </c>
      <c r="H82" s="599"/>
      <c r="J82" s="13">
        <v>3</v>
      </c>
      <c r="K82" s="14">
        <f t="shared" si="27"/>
        <v>37</v>
      </c>
      <c r="L82" s="18" t="str">
        <f t="shared" si="30"/>
        <v>%</v>
      </c>
      <c r="M82" s="36">
        <v>50</v>
      </c>
      <c r="N82" s="18" t="str">
        <f t="shared" si="28"/>
        <v>%</v>
      </c>
      <c r="O82" s="37">
        <v>-13</v>
      </c>
      <c r="P82" s="18" t="str">
        <f t="shared" si="29"/>
        <v>%</v>
      </c>
      <c r="Q82" s="599"/>
    </row>
    <row r="83" spans="1:17" x14ac:dyDescent="0.35">
      <c r="A83" s="13">
        <v>4</v>
      </c>
      <c r="B83" s="15">
        <f t="shared" si="24"/>
        <v>30</v>
      </c>
      <c r="C83" s="33" t="str">
        <f t="shared" si="31"/>
        <v>°C</v>
      </c>
      <c r="D83" s="35">
        <v>30</v>
      </c>
      <c r="E83" s="33" t="str">
        <f t="shared" si="25"/>
        <v>°C</v>
      </c>
      <c r="F83" s="31">
        <v>0</v>
      </c>
      <c r="G83" s="33" t="str">
        <f t="shared" si="26"/>
        <v>°C</v>
      </c>
      <c r="H83" s="599"/>
      <c r="J83" s="13">
        <v>4</v>
      </c>
      <c r="K83" s="14">
        <f t="shared" si="27"/>
        <v>47.1</v>
      </c>
      <c r="L83" s="18" t="str">
        <f t="shared" si="30"/>
        <v>%</v>
      </c>
      <c r="M83" s="36">
        <v>60</v>
      </c>
      <c r="N83" s="18" t="str">
        <f t="shared" si="28"/>
        <v>%</v>
      </c>
      <c r="O83" s="37">
        <v>-12.9</v>
      </c>
      <c r="P83" s="18" t="str">
        <f t="shared" si="29"/>
        <v>%</v>
      </c>
      <c r="Q83" s="599"/>
    </row>
    <row r="84" spans="1:17" x14ac:dyDescent="0.35">
      <c r="A84" s="13">
        <v>5</v>
      </c>
      <c r="B84" s="15">
        <f t="shared" si="24"/>
        <v>35.1</v>
      </c>
      <c r="C84" s="33" t="str">
        <f t="shared" si="31"/>
        <v>°C</v>
      </c>
      <c r="D84" s="35">
        <v>35</v>
      </c>
      <c r="E84" s="33" t="str">
        <f t="shared" si="25"/>
        <v>°C</v>
      </c>
      <c r="F84" s="31">
        <v>0.1</v>
      </c>
      <c r="G84" s="33" t="str">
        <f t="shared" si="26"/>
        <v>°C</v>
      </c>
      <c r="H84" s="599"/>
      <c r="J84" s="13">
        <v>5</v>
      </c>
      <c r="K84" s="14">
        <f t="shared" si="27"/>
        <v>57.2</v>
      </c>
      <c r="L84" s="18" t="str">
        <f t="shared" si="30"/>
        <v>%</v>
      </c>
      <c r="M84" s="36">
        <v>70</v>
      </c>
      <c r="N84" s="18" t="str">
        <f t="shared" si="28"/>
        <v>%</v>
      </c>
      <c r="O84" s="37">
        <v>-12.8</v>
      </c>
      <c r="P84" s="18" t="str">
        <f t="shared" si="29"/>
        <v>%</v>
      </c>
      <c r="Q84" s="599"/>
    </row>
    <row r="85" spans="1:17" x14ac:dyDescent="0.35">
      <c r="A85" s="13">
        <v>6</v>
      </c>
      <c r="B85" s="15">
        <f t="shared" si="24"/>
        <v>37.200000000000003</v>
      </c>
      <c r="C85" s="33" t="str">
        <f t="shared" si="31"/>
        <v>°C</v>
      </c>
      <c r="D85" s="35">
        <v>37</v>
      </c>
      <c r="E85" s="33" t="str">
        <f t="shared" si="25"/>
        <v>°C</v>
      </c>
      <c r="F85" s="31">
        <v>0.2</v>
      </c>
      <c r="G85" s="33" t="str">
        <f t="shared" si="26"/>
        <v>°C</v>
      </c>
      <c r="H85" s="599"/>
      <c r="J85" s="13">
        <v>6</v>
      </c>
      <c r="K85" s="14">
        <f t="shared" si="27"/>
        <v>67.5</v>
      </c>
      <c r="L85" s="18" t="str">
        <f t="shared" si="30"/>
        <v>%</v>
      </c>
      <c r="M85" s="36">
        <v>80</v>
      </c>
      <c r="N85" s="18" t="str">
        <f t="shared" si="28"/>
        <v>%</v>
      </c>
      <c r="O85" s="37">
        <v>-12.5</v>
      </c>
      <c r="P85" s="18" t="str">
        <f t="shared" si="29"/>
        <v>%</v>
      </c>
      <c r="Q85" s="599"/>
    </row>
    <row r="86" spans="1:17" x14ac:dyDescent="0.35">
      <c r="A86" s="13">
        <v>7</v>
      </c>
      <c r="B86" s="15">
        <f t="shared" si="24"/>
        <v>40.299999999999997</v>
      </c>
      <c r="C86" s="33" t="str">
        <f t="shared" si="31"/>
        <v>°C</v>
      </c>
      <c r="D86" s="35">
        <v>40</v>
      </c>
      <c r="E86" s="33" t="str">
        <f t="shared" si="25"/>
        <v>°C</v>
      </c>
      <c r="F86" s="31">
        <v>0.3</v>
      </c>
      <c r="G86" s="33" t="str">
        <f t="shared" si="26"/>
        <v>°C</v>
      </c>
      <c r="H86" s="600"/>
      <c r="J86" s="13">
        <v>7</v>
      </c>
      <c r="K86" s="14">
        <f t="shared" si="27"/>
        <v>78</v>
      </c>
      <c r="L86" s="18" t="str">
        <f t="shared" si="30"/>
        <v>%</v>
      </c>
      <c r="M86" s="36">
        <v>90</v>
      </c>
      <c r="N86" s="18" t="str">
        <f t="shared" si="28"/>
        <v>%</v>
      </c>
      <c r="O86" s="37">
        <v>-12</v>
      </c>
      <c r="P86" s="18" t="str">
        <f t="shared" si="29"/>
        <v>%</v>
      </c>
      <c r="Q86" s="600"/>
    </row>
    <row r="87" spans="1:17" x14ac:dyDescent="0.35">
      <c r="F87" s="16"/>
      <c r="G87" s="16"/>
      <c r="K87" s="16"/>
      <c r="L87" s="16"/>
      <c r="M87" s="17"/>
      <c r="N87" s="17"/>
      <c r="O87" s="16"/>
      <c r="P87" s="16"/>
    </row>
    <row r="88" spans="1:17" x14ac:dyDescent="0.35">
      <c r="B88" s="51" t="s">
        <v>93</v>
      </c>
      <c r="C88" s="34">
        <f t="array" ref="C88:D92">LINEST(D80:D86,B80:B86,1,1)</f>
        <v>0.97996162865060765</v>
      </c>
      <c r="D88" s="34">
        <v>0.56425069281602447</v>
      </c>
      <c r="E88" s="52" t="s">
        <v>98</v>
      </c>
      <c r="F88" s="16"/>
      <c r="G88" s="16"/>
      <c r="K88" s="51" t="s">
        <v>93</v>
      </c>
      <c r="L88" s="34">
        <f t="array" ref="L88:M92">LINEST(M80:M86,K80:K86,1,1)</f>
        <v>0.98892357687225274</v>
      </c>
      <c r="M88" s="34">
        <v>13.209787334272846</v>
      </c>
      <c r="N88" s="52" t="s">
        <v>98</v>
      </c>
    </row>
    <row r="89" spans="1:17" x14ac:dyDescent="0.35">
      <c r="B89" s="51" t="s">
        <v>94</v>
      </c>
      <c r="C89" s="34">
        <v>2.2276445069475143E-3</v>
      </c>
      <c r="D89" s="34">
        <v>6.7205016379843024E-2</v>
      </c>
      <c r="E89" s="52" t="s">
        <v>99</v>
      </c>
      <c r="F89" s="16"/>
      <c r="G89" s="16"/>
      <c r="K89" s="51" t="s">
        <v>94</v>
      </c>
      <c r="L89" s="34">
        <v>4.9966125715733781E-3</v>
      </c>
      <c r="M89" s="34">
        <v>0.25709987325029277</v>
      </c>
      <c r="N89" s="52" t="s">
        <v>99</v>
      </c>
    </row>
    <row r="90" spans="1:17" x14ac:dyDescent="0.35">
      <c r="B90" s="51" t="s">
        <v>95</v>
      </c>
      <c r="C90" s="34">
        <v>0.99997416357532587</v>
      </c>
      <c r="D90" s="34">
        <v>5.1579196948740184E-2</v>
      </c>
      <c r="E90" s="52" t="s">
        <v>100</v>
      </c>
      <c r="F90" s="16"/>
      <c r="G90" s="16"/>
      <c r="K90" s="51" t="s">
        <v>95</v>
      </c>
      <c r="L90" s="34">
        <v>0.99987237361619563</v>
      </c>
      <c r="M90" s="34">
        <v>0.26734018577541685</v>
      </c>
      <c r="N90" s="52" t="s">
        <v>100</v>
      </c>
    </row>
    <row r="91" spans="1:17" x14ac:dyDescent="0.35">
      <c r="B91" s="51" t="s">
        <v>96</v>
      </c>
      <c r="C91" s="34">
        <v>193520.22893771849</v>
      </c>
      <c r="D91" s="34">
        <v>5</v>
      </c>
      <c r="E91" s="52" t="s">
        <v>101</v>
      </c>
      <c r="F91" s="16"/>
      <c r="G91" s="16"/>
      <c r="K91" s="51" t="s">
        <v>96</v>
      </c>
      <c r="L91" s="34">
        <v>39171.852394917529</v>
      </c>
      <c r="M91" s="34">
        <v>5</v>
      </c>
      <c r="N91" s="52" t="s">
        <v>101</v>
      </c>
    </row>
    <row r="92" spans="1:17" x14ac:dyDescent="0.35">
      <c r="B92" s="51" t="s">
        <v>97</v>
      </c>
      <c r="C92" s="34">
        <v>514.84384078935352</v>
      </c>
      <c r="D92" s="34">
        <v>1.3302067789384645E-2</v>
      </c>
      <c r="E92" s="52" t="s">
        <v>102</v>
      </c>
      <c r="F92" s="16"/>
      <c r="G92" s="16"/>
      <c r="K92" s="51" t="s">
        <v>97</v>
      </c>
      <c r="L92" s="34">
        <v>2799.6426461253477</v>
      </c>
      <c r="M92" s="34">
        <v>0.35735387465217189</v>
      </c>
      <c r="N92" s="52" t="s">
        <v>102</v>
      </c>
    </row>
    <row r="94" spans="1:17" x14ac:dyDescent="0.35">
      <c r="A94" s="11" t="s">
        <v>5</v>
      </c>
      <c r="B94" s="12"/>
      <c r="C94" s="12"/>
      <c r="D94" s="12"/>
      <c r="E94" s="12"/>
      <c r="F94" s="12"/>
      <c r="G94" s="12"/>
      <c r="I94" s="16">
        <f>K9</f>
        <v>34902416</v>
      </c>
      <c r="J94" t="s">
        <v>6</v>
      </c>
      <c r="K94" s="16"/>
      <c r="L94" s="16"/>
      <c r="M94" s="12"/>
      <c r="N94" s="17"/>
      <c r="O94" s="16"/>
      <c r="P94" s="16"/>
    </row>
    <row r="95" spans="1:17" x14ac:dyDescent="0.35">
      <c r="A95" s="39" t="s">
        <v>51</v>
      </c>
      <c r="B95" s="606" t="s">
        <v>52</v>
      </c>
      <c r="C95" s="606"/>
      <c r="D95" s="606" t="s">
        <v>53</v>
      </c>
      <c r="E95" s="606"/>
      <c r="F95" s="606" t="s">
        <v>54</v>
      </c>
      <c r="G95" s="606"/>
      <c r="H95" s="32" t="s">
        <v>86</v>
      </c>
      <c r="I95" s="1"/>
      <c r="J95" s="38" t="s">
        <v>51</v>
      </c>
      <c r="K95" s="606" t="s">
        <v>52</v>
      </c>
      <c r="L95" s="606"/>
      <c r="M95" s="606" t="s">
        <v>53</v>
      </c>
      <c r="N95" s="606"/>
      <c r="O95" s="606" t="s">
        <v>54</v>
      </c>
      <c r="P95" s="606"/>
      <c r="Q95" s="32" t="s">
        <v>86</v>
      </c>
    </row>
    <row r="96" spans="1:17" x14ac:dyDescent="0.35">
      <c r="A96" s="13">
        <v>1</v>
      </c>
      <c r="B96" s="15">
        <f t="shared" ref="B96:B102" si="32">D96+F96</f>
        <v>14.9</v>
      </c>
      <c r="C96" s="33" t="s">
        <v>55</v>
      </c>
      <c r="D96" s="35">
        <v>15</v>
      </c>
      <c r="E96" s="33" t="str">
        <f t="shared" ref="E96:E102" si="33">$C$32</f>
        <v>°C</v>
      </c>
      <c r="F96" s="31">
        <v>-0.1</v>
      </c>
      <c r="G96" s="33" t="str">
        <f t="shared" ref="G96:G102" si="34">$C$32</f>
        <v>°C</v>
      </c>
      <c r="H96" s="598">
        <v>0.5</v>
      </c>
      <c r="J96" s="13">
        <v>1</v>
      </c>
      <c r="K96" s="14">
        <f t="shared" ref="K96:K102" si="35">M96+O96</f>
        <v>20.8</v>
      </c>
      <c r="L96" s="18" t="s">
        <v>31</v>
      </c>
      <c r="M96" s="36">
        <v>30</v>
      </c>
      <c r="N96" s="18" t="str">
        <f t="shared" ref="N96:N102" si="36">$L$32</f>
        <v>%</v>
      </c>
      <c r="O96" s="37">
        <v>-9.1999999999999993</v>
      </c>
      <c r="P96" s="18" t="str">
        <f t="shared" ref="P96:P102" si="37">$L$32</f>
        <v>%</v>
      </c>
      <c r="Q96" s="598">
        <v>2.8</v>
      </c>
    </row>
    <row r="97" spans="1:17" x14ac:dyDescent="0.35">
      <c r="A97" s="13">
        <v>2</v>
      </c>
      <c r="B97" s="15">
        <f t="shared" si="32"/>
        <v>19.8</v>
      </c>
      <c r="C97" s="33" t="str">
        <f>$C$32</f>
        <v>°C</v>
      </c>
      <c r="D97" s="35">
        <v>20</v>
      </c>
      <c r="E97" s="33" t="str">
        <f t="shared" si="33"/>
        <v>°C</v>
      </c>
      <c r="F97" s="31">
        <v>-0.2</v>
      </c>
      <c r="G97" s="33" t="str">
        <f t="shared" si="34"/>
        <v>°C</v>
      </c>
      <c r="H97" s="599"/>
      <c r="J97" s="13">
        <v>2</v>
      </c>
      <c r="K97" s="14">
        <f t="shared" si="35"/>
        <v>32</v>
      </c>
      <c r="L97" s="18" t="str">
        <f t="shared" ref="L97:L102" si="38">$L$32</f>
        <v>%</v>
      </c>
      <c r="M97" s="36">
        <v>40</v>
      </c>
      <c r="N97" s="18" t="str">
        <f t="shared" si="36"/>
        <v>%</v>
      </c>
      <c r="O97" s="37">
        <v>-8</v>
      </c>
      <c r="P97" s="18" t="str">
        <f t="shared" si="37"/>
        <v>%</v>
      </c>
      <c r="Q97" s="599"/>
    </row>
    <row r="98" spans="1:17" x14ac:dyDescent="0.35">
      <c r="A98" s="13">
        <v>3</v>
      </c>
      <c r="B98" s="15">
        <f t="shared" si="32"/>
        <v>24.7</v>
      </c>
      <c r="C98" s="33" t="str">
        <f t="shared" ref="C98:C102" si="39">$C$32</f>
        <v>°C</v>
      </c>
      <c r="D98" s="35">
        <v>25</v>
      </c>
      <c r="E98" s="33" t="str">
        <f t="shared" si="33"/>
        <v>°C</v>
      </c>
      <c r="F98" s="31">
        <v>-0.3</v>
      </c>
      <c r="G98" s="33" t="str">
        <f t="shared" si="34"/>
        <v>°C</v>
      </c>
      <c r="H98" s="599"/>
      <c r="J98" s="13">
        <v>3</v>
      </c>
      <c r="K98" s="14">
        <f t="shared" si="35"/>
        <v>42.8</v>
      </c>
      <c r="L98" s="18" t="str">
        <f t="shared" si="38"/>
        <v>%</v>
      </c>
      <c r="M98" s="36">
        <v>50</v>
      </c>
      <c r="N98" s="18" t="str">
        <f t="shared" si="36"/>
        <v>%</v>
      </c>
      <c r="O98" s="37">
        <v>-7.2</v>
      </c>
      <c r="P98" s="18" t="str">
        <f t="shared" si="37"/>
        <v>%</v>
      </c>
      <c r="Q98" s="599"/>
    </row>
    <row r="99" spans="1:17" x14ac:dyDescent="0.35">
      <c r="A99" s="13">
        <v>4</v>
      </c>
      <c r="B99" s="15">
        <f t="shared" si="32"/>
        <v>30</v>
      </c>
      <c r="C99" s="33" t="str">
        <f t="shared" si="39"/>
        <v>°C</v>
      </c>
      <c r="D99" s="35">
        <v>30</v>
      </c>
      <c r="E99" s="33" t="str">
        <f t="shared" si="33"/>
        <v>°C</v>
      </c>
      <c r="F99" s="31">
        <v>0</v>
      </c>
      <c r="G99" s="33" t="str">
        <f t="shared" si="34"/>
        <v>°C</v>
      </c>
      <c r="H99" s="599"/>
      <c r="J99" s="13">
        <v>4</v>
      </c>
      <c r="K99" s="14">
        <f t="shared" si="35"/>
        <v>53.2</v>
      </c>
      <c r="L99" s="18" t="str">
        <f t="shared" si="38"/>
        <v>%</v>
      </c>
      <c r="M99" s="36">
        <v>60</v>
      </c>
      <c r="N99" s="18" t="str">
        <f t="shared" si="36"/>
        <v>%</v>
      </c>
      <c r="O99" s="37">
        <v>-6.8</v>
      </c>
      <c r="P99" s="18" t="str">
        <f t="shared" si="37"/>
        <v>%</v>
      </c>
      <c r="Q99" s="599"/>
    </row>
    <row r="100" spans="1:17" x14ac:dyDescent="0.35">
      <c r="A100" s="13">
        <v>5</v>
      </c>
      <c r="B100" s="15">
        <f t="shared" si="32"/>
        <v>34.6</v>
      </c>
      <c r="C100" s="33" t="str">
        <f t="shared" si="39"/>
        <v>°C</v>
      </c>
      <c r="D100" s="35">
        <v>35</v>
      </c>
      <c r="E100" s="33" t="str">
        <f t="shared" si="33"/>
        <v>°C</v>
      </c>
      <c r="F100" s="31">
        <v>-0.4</v>
      </c>
      <c r="G100" s="33" t="str">
        <f t="shared" si="34"/>
        <v>°C</v>
      </c>
      <c r="H100" s="599"/>
      <c r="J100" s="13">
        <v>5</v>
      </c>
      <c r="K100" s="14">
        <f t="shared" si="35"/>
        <v>63.3</v>
      </c>
      <c r="L100" s="18" t="str">
        <f t="shared" si="38"/>
        <v>%</v>
      </c>
      <c r="M100" s="36">
        <v>70</v>
      </c>
      <c r="N100" s="18" t="str">
        <f t="shared" si="36"/>
        <v>%</v>
      </c>
      <c r="O100" s="37">
        <v>-6.7</v>
      </c>
      <c r="P100" s="18" t="str">
        <f t="shared" si="37"/>
        <v>%</v>
      </c>
      <c r="Q100" s="599"/>
    </row>
    <row r="101" spans="1:17" x14ac:dyDescent="0.35">
      <c r="A101" s="13">
        <v>6</v>
      </c>
      <c r="B101" s="15">
        <f t="shared" si="32"/>
        <v>36.6</v>
      </c>
      <c r="C101" s="33" t="str">
        <f t="shared" si="39"/>
        <v>°C</v>
      </c>
      <c r="D101" s="35">
        <v>37</v>
      </c>
      <c r="E101" s="33" t="str">
        <f t="shared" si="33"/>
        <v>°C</v>
      </c>
      <c r="F101" s="31">
        <v>-0.4</v>
      </c>
      <c r="G101" s="33" t="str">
        <f t="shared" si="34"/>
        <v>°C</v>
      </c>
      <c r="H101" s="599"/>
      <c r="J101" s="13">
        <v>6</v>
      </c>
      <c r="K101" s="14">
        <f t="shared" si="35"/>
        <v>73</v>
      </c>
      <c r="L101" s="18" t="str">
        <f t="shared" si="38"/>
        <v>%</v>
      </c>
      <c r="M101" s="36">
        <v>80</v>
      </c>
      <c r="N101" s="18" t="str">
        <f t="shared" si="36"/>
        <v>%</v>
      </c>
      <c r="O101" s="37">
        <v>-7</v>
      </c>
      <c r="P101" s="18" t="str">
        <f t="shared" si="37"/>
        <v>%</v>
      </c>
      <c r="Q101" s="599"/>
    </row>
    <row r="102" spans="1:17" x14ac:dyDescent="0.35">
      <c r="A102" s="13">
        <v>7</v>
      </c>
      <c r="B102" s="15">
        <f t="shared" si="32"/>
        <v>39.6</v>
      </c>
      <c r="C102" s="33" t="str">
        <f t="shared" si="39"/>
        <v>°C</v>
      </c>
      <c r="D102" s="35">
        <v>40</v>
      </c>
      <c r="E102" s="33" t="str">
        <f t="shared" si="33"/>
        <v>°C</v>
      </c>
      <c r="F102" s="31">
        <v>-0.4</v>
      </c>
      <c r="G102" s="33" t="str">
        <f t="shared" si="34"/>
        <v>°C</v>
      </c>
      <c r="H102" s="600"/>
      <c r="J102" s="13">
        <v>7</v>
      </c>
      <c r="K102" s="14">
        <f t="shared" si="35"/>
        <v>82.3</v>
      </c>
      <c r="L102" s="18" t="str">
        <f t="shared" si="38"/>
        <v>%</v>
      </c>
      <c r="M102" s="36">
        <v>90</v>
      </c>
      <c r="N102" s="18" t="str">
        <f t="shared" si="36"/>
        <v>%</v>
      </c>
      <c r="O102" s="37">
        <v>-7.7</v>
      </c>
      <c r="P102" s="18" t="str">
        <f t="shared" si="37"/>
        <v>%</v>
      </c>
      <c r="Q102" s="600"/>
    </row>
    <row r="103" spans="1:17" x14ac:dyDescent="0.35">
      <c r="F103" s="16"/>
      <c r="G103" s="16"/>
      <c r="K103" s="16"/>
      <c r="L103" s="16"/>
      <c r="M103" s="17"/>
      <c r="N103" s="17"/>
      <c r="O103" s="16"/>
      <c r="P103" s="16"/>
    </row>
    <row r="104" spans="1:17" x14ac:dyDescent="0.35">
      <c r="B104" s="51" t="s">
        <v>93</v>
      </c>
      <c r="C104" s="34">
        <f t="array" ref="C104:D108">LINEST(D96:D102,B96:B102,1,1)</f>
        <v>1.0113252533280352</v>
      </c>
      <c r="D104" s="34">
        <v>-6.6759388038949652E-2</v>
      </c>
      <c r="E104" s="52" t="s">
        <v>98</v>
      </c>
      <c r="F104" s="16"/>
      <c r="G104" s="16"/>
      <c r="K104" s="51" t="s">
        <v>93</v>
      </c>
      <c r="L104" s="34">
        <f t="array" ref="L104:M108">LINEST(M96:M102,K96:K102,1,1)</f>
        <v>0.97464941244504544</v>
      </c>
      <c r="M104" s="34">
        <v>8.8448294096700408</v>
      </c>
      <c r="N104" s="52" t="s">
        <v>98</v>
      </c>
    </row>
    <row r="105" spans="1:17" x14ac:dyDescent="0.35">
      <c r="B105" s="51" t="s">
        <v>94</v>
      </c>
      <c r="C105" s="34">
        <v>6.0657013798822625E-3</v>
      </c>
      <c r="D105" s="34">
        <v>0.18094303410732279</v>
      </c>
      <c r="E105" s="52" t="s">
        <v>99</v>
      </c>
      <c r="F105" s="16"/>
      <c r="G105" s="16"/>
      <c r="K105" s="51" t="s">
        <v>94</v>
      </c>
      <c r="L105" s="34">
        <v>1.3682093236558866E-2</v>
      </c>
      <c r="M105" s="34">
        <v>0.77099709684039031</v>
      </c>
      <c r="N105" s="52" t="s">
        <v>99</v>
      </c>
    </row>
    <row r="106" spans="1:17" x14ac:dyDescent="0.35">
      <c r="B106" s="51" t="s">
        <v>95</v>
      </c>
      <c r="C106" s="34">
        <v>0.99982016581792144</v>
      </c>
      <c r="D106" s="34">
        <v>0.13608005965096973</v>
      </c>
      <c r="E106" s="52" t="s">
        <v>100</v>
      </c>
      <c r="F106" s="16"/>
      <c r="G106" s="16"/>
      <c r="K106" s="51" t="s">
        <v>95</v>
      </c>
      <c r="L106" s="34">
        <v>0.99901564775617169</v>
      </c>
      <c r="M106" s="34">
        <v>0.74245353830649297</v>
      </c>
      <c r="N106" s="52" t="s">
        <v>100</v>
      </c>
    </row>
    <row r="107" spans="1:17" x14ac:dyDescent="0.35">
      <c r="B107" s="51" t="s">
        <v>96</v>
      </c>
      <c r="C107" s="34">
        <v>27798.390557940045</v>
      </c>
      <c r="D107" s="34">
        <v>5</v>
      </c>
      <c r="E107" s="52" t="s">
        <v>101</v>
      </c>
      <c r="F107" s="16"/>
      <c r="G107" s="16"/>
      <c r="K107" s="51" t="s">
        <v>96</v>
      </c>
      <c r="L107" s="34">
        <v>5074.4825036964112</v>
      </c>
      <c r="M107" s="34">
        <v>5</v>
      </c>
      <c r="N107" s="52" t="s">
        <v>101</v>
      </c>
    </row>
    <row r="108" spans="1:17" x14ac:dyDescent="0.35">
      <c r="B108" s="51" t="s">
        <v>97</v>
      </c>
      <c r="C108" s="34">
        <v>514.76455394396987</v>
      </c>
      <c r="D108" s="34">
        <v>9.2588913173057383E-2</v>
      </c>
      <c r="E108" s="52" t="s">
        <v>102</v>
      </c>
      <c r="F108" s="16"/>
      <c r="G108" s="16"/>
      <c r="K108" s="51" t="s">
        <v>97</v>
      </c>
      <c r="L108" s="34">
        <v>2797.2438137172808</v>
      </c>
      <c r="M108" s="34">
        <v>2.7561862827191552</v>
      </c>
      <c r="N108" s="52" t="s">
        <v>102</v>
      </c>
    </row>
    <row r="110" spans="1:17" x14ac:dyDescent="0.35">
      <c r="A110" s="11" t="s">
        <v>5</v>
      </c>
      <c r="B110" s="12"/>
      <c r="C110" s="12"/>
      <c r="D110" s="12"/>
      <c r="E110" s="12"/>
      <c r="F110" s="12"/>
      <c r="G110" s="12"/>
      <c r="I110" s="191" t="str">
        <f>K10</f>
        <v>117l15116</v>
      </c>
      <c r="J110" t="s">
        <v>6</v>
      </c>
      <c r="K110" s="16"/>
      <c r="L110" s="16"/>
      <c r="M110" s="12"/>
      <c r="N110" s="17"/>
      <c r="O110" s="16"/>
      <c r="P110" s="16"/>
    </row>
    <row r="111" spans="1:17" x14ac:dyDescent="0.35">
      <c r="A111" s="39" t="s">
        <v>51</v>
      </c>
      <c r="B111" s="606" t="s">
        <v>52</v>
      </c>
      <c r="C111" s="606"/>
      <c r="D111" s="606" t="s">
        <v>53</v>
      </c>
      <c r="E111" s="606"/>
      <c r="F111" s="606" t="s">
        <v>54</v>
      </c>
      <c r="G111" s="606"/>
      <c r="H111" s="32" t="s">
        <v>86</v>
      </c>
      <c r="I111" s="1"/>
      <c r="J111" s="38" t="s">
        <v>51</v>
      </c>
      <c r="K111" s="606" t="s">
        <v>52</v>
      </c>
      <c r="L111" s="606"/>
      <c r="M111" s="606" t="s">
        <v>53</v>
      </c>
      <c r="N111" s="606"/>
      <c r="O111" s="606" t="s">
        <v>54</v>
      </c>
      <c r="P111" s="606"/>
      <c r="Q111" s="32" t="s">
        <v>86</v>
      </c>
    </row>
    <row r="112" spans="1:17" x14ac:dyDescent="0.35">
      <c r="A112" s="13">
        <v>1</v>
      </c>
      <c r="B112" s="15">
        <f t="shared" ref="B112:B118" si="40">D112+F112</f>
        <v>15.2</v>
      </c>
      <c r="C112" s="33" t="s">
        <v>55</v>
      </c>
      <c r="D112" s="35">
        <v>15</v>
      </c>
      <c r="E112" s="33" t="str">
        <f t="shared" ref="E112:E118" si="41">$C$32</f>
        <v>°C</v>
      </c>
      <c r="F112" s="31">
        <v>0.2</v>
      </c>
      <c r="G112" s="33" t="str">
        <f t="shared" ref="G112:G118" si="42">$C$32</f>
        <v>°C</v>
      </c>
      <c r="H112" s="598">
        <v>0.5</v>
      </c>
      <c r="J112" s="13">
        <v>1</v>
      </c>
      <c r="K112" s="14">
        <f t="shared" ref="K112:K118" si="43">M112+O112</f>
        <v>23.6</v>
      </c>
      <c r="L112" s="18" t="s">
        <v>31</v>
      </c>
      <c r="M112" s="36">
        <v>30</v>
      </c>
      <c r="N112" s="18" t="str">
        <f t="shared" ref="N112:N118" si="44">$L$32</f>
        <v>%</v>
      </c>
      <c r="O112" s="37">
        <v>-6.4</v>
      </c>
      <c r="P112" s="18" t="str">
        <f t="shared" ref="P112:P118" si="45">$L$32</f>
        <v>%</v>
      </c>
      <c r="Q112" s="598">
        <v>1.3</v>
      </c>
    </row>
    <row r="113" spans="1:17" x14ac:dyDescent="0.35">
      <c r="A113" s="13">
        <v>2</v>
      </c>
      <c r="B113" s="15">
        <f t="shared" si="40"/>
        <v>19.7</v>
      </c>
      <c r="C113" s="33" t="str">
        <f>$C$32</f>
        <v>°C</v>
      </c>
      <c r="D113" s="35">
        <v>20</v>
      </c>
      <c r="E113" s="33" t="str">
        <f t="shared" si="41"/>
        <v>°C</v>
      </c>
      <c r="F113" s="31">
        <v>-0.3</v>
      </c>
      <c r="G113" s="33" t="str">
        <f t="shared" si="42"/>
        <v>°C</v>
      </c>
      <c r="H113" s="599"/>
      <c r="J113" s="13">
        <v>2</v>
      </c>
      <c r="K113" s="14">
        <f t="shared" si="43"/>
        <v>33.6</v>
      </c>
      <c r="L113" s="18" t="str">
        <f t="shared" ref="L113:L118" si="46">$L$32</f>
        <v>%</v>
      </c>
      <c r="M113" s="36">
        <v>40</v>
      </c>
      <c r="N113" s="18" t="str">
        <f t="shared" si="44"/>
        <v>%</v>
      </c>
      <c r="O113" s="37">
        <v>-6.4</v>
      </c>
      <c r="P113" s="18" t="str">
        <f t="shared" si="45"/>
        <v>%</v>
      </c>
      <c r="Q113" s="599"/>
    </row>
    <row r="114" spans="1:17" x14ac:dyDescent="0.35">
      <c r="A114" s="13">
        <v>3</v>
      </c>
      <c r="B114" s="15">
        <f t="shared" si="40"/>
        <v>24.8</v>
      </c>
      <c r="C114" s="33" t="str">
        <f t="shared" ref="C114:C118" si="47">$C$32</f>
        <v>°C</v>
      </c>
      <c r="D114" s="35">
        <v>25</v>
      </c>
      <c r="E114" s="33" t="str">
        <f t="shared" si="41"/>
        <v>°C</v>
      </c>
      <c r="F114" s="31">
        <v>-0.2</v>
      </c>
      <c r="G114" s="33" t="str">
        <f t="shared" si="42"/>
        <v>°C</v>
      </c>
      <c r="H114" s="599"/>
      <c r="J114" s="13">
        <v>3</v>
      </c>
      <c r="K114" s="14">
        <f t="shared" si="43"/>
        <v>43.6</v>
      </c>
      <c r="L114" s="18" t="str">
        <f t="shared" si="46"/>
        <v>%</v>
      </c>
      <c r="M114" s="36">
        <v>50</v>
      </c>
      <c r="N114" s="18" t="str">
        <f t="shared" si="44"/>
        <v>%</v>
      </c>
      <c r="O114" s="37">
        <v>-6.4</v>
      </c>
      <c r="P114" s="18" t="str">
        <f t="shared" si="45"/>
        <v>%</v>
      </c>
      <c r="Q114" s="599"/>
    </row>
    <row r="115" spans="1:17" x14ac:dyDescent="0.35">
      <c r="A115" s="13">
        <v>4</v>
      </c>
      <c r="B115" s="15">
        <f t="shared" si="40"/>
        <v>30</v>
      </c>
      <c r="C115" s="33" t="str">
        <f t="shared" si="47"/>
        <v>°C</v>
      </c>
      <c r="D115" s="35">
        <v>30</v>
      </c>
      <c r="E115" s="33" t="str">
        <f t="shared" si="41"/>
        <v>°C</v>
      </c>
      <c r="F115" s="31">
        <v>0</v>
      </c>
      <c r="G115" s="33" t="str">
        <f t="shared" si="42"/>
        <v>°C</v>
      </c>
      <c r="H115" s="599"/>
      <c r="J115" s="13">
        <v>4</v>
      </c>
      <c r="K115" s="14">
        <f t="shared" si="43"/>
        <v>53.7</v>
      </c>
      <c r="L115" s="18" t="str">
        <f t="shared" si="46"/>
        <v>%</v>
      </c>
      <c r="M115" s="36">
        <v>60</v>
      </c>
      <c r="N115" s="18" t="str">
        <f t="shared" si="44"/>
        <v>%</v>
      </c>
      <c r="O115" s="37">
        <v>-6.3</v>
      </c>
      <c r="P115" s="18" t="str">
        <f t="shared" si="45"/>
        <v>%</v>
      </c>
      <c r="Q115" s="599"/>
    </row>
    <row r="116" spans="1:17" x14ac:dyDescent="0.35">
      <c r="A116" s="13">
        <v>5</v>
      </c>
      <c r="B116" s="15">
        <f t="shared" si="40"/>
        <v>35.4</v>
      </c>
      <c r="C116" s="33" t="str">
        <f t="shared" si="47"/>
        <v>°C</v>
      </c>
      <c r="D116" s="35">
        <v>35</v>
      </c>
      <c r="E116" s="33" t="str">
        <f t="shared" si="41"/>
        <v>°C</v>
      </c>
      <c r="F116" s="31">
        <v>0.4</v>
      </c>
      <c r="G116" s="33" t="str">
        <f t="shared" si="42"/>
        <v>°C</v>
      </c>
      <c r="H116" s="599"/>
      <c r="J116" s="13">
        <v>5</v>
      </c>
      <c r="K116" s="14">
        <f t="shared" si="43"/>
        <v>63.7</v>
      </c>
      <c r="L116" s="18" t="str">
        <f t="shared" si="46"/>
        <v>%</v>
      </c>
      <c r="M116" s="36">
        <v>70</v>
      </c>
      <c r="N116" s="18" t="str">
        <f t="shared" si="44"/>
        <v>%</v>
      </c>
      <c r="O116" s="37">
        <v>-6.3</v>
      </c>
      <c r="P116" s="18" t="str">
        <f t="shared" si="45"/>
        <v>%</v>
      </c>
      <c r="Q116" s="599"/>
    </row>
    <row r="117" spans="1:17" x14ac:dyDescent="0.35">
      <c r="A117" s="13">
        <v>6</v>
      </c>
      <c r="B117" s="15">
        <f t="shared" si="40"/>
        <v>37.6</v>
      </c>
      <c r="C117" s="33" t="str">
        <f t="shared" si="47"/>
        <v>°C</v>
      </c>
      <c r="D117" s="35">
        <v>37</v>
      </c>
      <c r="E117" s="33" t="str">
        <f t="shared" si="41"/>
        <v>°C</v>
      </c>
      <c r="F117" s="31">
        <v>0.6</v>
      </c>
      <c r="G117" s="33" t="str">
        <f t="shared" si="42"/>
        <v>°C</v>
      </c>
      <c r="H117" s="599"/>
      <c r="J117" s="13">
        <v>6</v>
      </c>
      <c r="K117" s="14">
        <f t="shared" si="43"/>
        <v>73.8</v>
      </c>
      <c r="L117" s="18" t="str">
        <f t="shared" si="46"/>
        <v>%</v>
      </c>
      <c r="M117" s="36">
        <v>80</v>
      </c>
      <c r="N117" s="18" t="str">
        <f t="shared" si="44"/>
        <v>%</v>
      </c>
      <c r="O117" s="37">
        <v>-6.2</v>
      </c>
      <c r="P117" s="18" t="str">
        <f t="shared" si="45"/>
        <v>%</v>
      </c>
      <c r="Q117" s="599"/>
    </row>
    <row r="118" spans="1:17" x14ac:dyDescent="0.35">
      <c r="A118" s="13">
        <v>7</v>
      </c>
      <c r="B118" s="15">
        <f t="shared" si="40"/>
        <v>40.9</v>
      </c>
      <c r="C118" s="33" t="str">
        <f t="shared" si="47"/>
        <v>°C</v>
      </c>
      <c r="D118" s="35">
        <v>40</v>
      </c>
      <c r="E118" s="33" t="str">
        <f t="shared" si="41"/>
        <v>°C</v>
      </c>
      <c r="F118" s="31">
        <v>0.9</v>
      </c>
      <c r="G118" s="33" t="str">
        <f t="shared" si="42"/>
        <v>°C</v>
      </c>
      <c r="H118" s="600"/>
      <c r="J118" s="13">
        <v>7</v>
      </c>
      <c r="K118" s="14">
        <f t="shared" si="43"/>
        <v>83.8</v>
      </c>
      <c r="L118" s="18" t="str">
        <f t="shared" si="46"/>
        <v>%</v>
      </c>
      <c r="M118" s="36">
        <v>90</v>
      </c>
      <c r="N118" s="18" t="str">
        <f t="shared" si="44"/>
        <v>%</v>
      </c>
      <c r="O118" s="37">
        <v>-6.2</v>
      </c>
      <c r="P118" s="18" t="str">
        <f t="shared" si="45"/>
        <v>%</v>
      </c>
      <c r="Q118" s="600"/>
    </row>
    <row r="119" spans="1:17" x14ac:dyDescent="0.35">
      <c r="F119" s="16"/>
      <c r="G119" s="16"/>
      <c r="K119" s="16"/>
      <c r="L119" s="16"/>
      <c r="M119" s="17"/>
      <c r="N119" s="17"/>
      <c r="O119" s="16"/>
      <c r="P119" s="16"/>
    </row>
    <row r="120" spans="1:17" x14ac:dyDescent="0.35">
      <c r="B120" s="51" t="s">
        <v>93</v>
      </c>
      <c r="C120" s="34">
        <f t="array" ref="C120:D124">LINEST(D112:D118,B112:B118,1,1)</f>
        <v>0.96528773348100827</v>
      </c>
      <c r="D120" s="34">
        <v>0.78105963760953045</v>
      </c>
      <c r="E120" s="52" t="s">
        <v>98</v>
      </c>
      <c r="F120" s="16"/>
      <c r="G120" s="16"/>
      <c r="K120" s="51" t="s">
        <v>93</v>
      </c>
      <c r="L120" s="34">
        <f t="array" ref="L120:M124">LINEST(M112:M118,K112:K118,1,1)</f>
        <v>0.99608491096133822</v>
      </c>
      <c r="M120" s="34">
        <v>6.5244700658184343</v>
      </c>
      <c r="N120" s="52" t="s">
        <v>98</v>
      </c>
    </row>
    <row r="121" spans="1:17" x14ac:dyDescent="0.35">
      <c r="B121" s="51" t="s">
        <v>94</v>
      </c>
      <c r="C121" s="34">
        <v>1.3036434959863827E-2</v>
      </c>
      <c r="D121" s="34">
        <v>0.39645401059107915</v>
      </c>
      <c r="E121" s="52" t="s">
        <v>99</v>
      </c>
      <c r="F121" s="16"/>
      <c r="G121" s="16"/>
      <c r="K121" s="51" t="s">
        <v>94</v>
      </c>
      <c r="L121" s="34">
        <v>6.1375655440682505E-4</v>
      </c>
      <c r="M121" s="34">
        <v>3.5179044354862479E-2</v>
      </c>
      <c r="N121" s="52" t="s">
        <v>99</v>
      </c>
    </row>
    <row r="122" spans="1:17" x14ac:dyDescent="0.35">
      <c r="B122" s="51" t="s">
        <v>95</v>
      </c>
      <c r="C122" s="34">
        <v>0.99908887442587602</v>
      </c>
      <c r="D122" s="34">
        <v>0.30630034602575978</v>
      </c>
      <c r="E122" s="52" t="s">
        <v>100</v>
      </c>
      <c r="F122" s="16"/>
      <c r="G122" s="16"/>
      <c r="K122" s="51" t="s">
        <v>95</v>
      </c>
      <c r="L122" s="34">
        <v>0.99999810168297198</v>
      </c>
      <c r="M122" s="34">
        <v>3.2604563111793508E-2</v>
      </c>
      <c r="N122" s="52" t="s">
        <v>100</v>
      </c>
    </row>
    <row r="123" spans="1:17" x14ac:dyDescent="0.35">
      <c r="B123" s="51" t="s">
        <v>96</v>
      </c>
      <c r="C123" s="34">
        <v>5482.7177658061391</v>
      </c>
      <c r="D123" s="34">
        <v>5</v>
      </c>
      <c r="E123" s="52" t="s">
        <v>101</v>
      </c>
      <c r="F123" s="16"/>
      <c r="G123" s="16"/>
      <c r="K123" s="51" t="s">
        <v>96</v>
      </c>
      <c r="L123" s="34">
        <v>2633907.0000005309</v>
      </c>
      <c r="M123" s="34">
        <v>5</v>
      </c>
      <c r="N123" s="52" t="s">
        <v>101</v>
      </c>
    </row>
    <row r="124" spans="1:17" x14ac:dyDescent="0.35">
      <c r="B124" s="51" t="s">
        <v>97</v>
      </c>
      <c r="C124" s="34">
        <v>514.38804334726535</v>
      </c>
      <c r="D124" s="34">
        <v>0.46909950987750093</v>
      </c>
      <c r="E124" s="52" t="s">
        <v>102</v>
      </c>
      <c r="F124" s="16"/>
      <c r="G124" s="16"/>
      <c r="K124" s="51" t="s">
        <v>97</v>
      </c>
      <c r="L124" s="34">
        <v>2799.9946847123215</v>
      </c>
      <c r="M124" s="34">
        <v>5.3152876785546284E-3</v>
      </c>
      <c r="N124" s="52" t="s">
        <v>102</v>
      </c>
    </row>
    <row r="126" spans="1:17" x14ac:dyDescent="0.35">
      <c r="A126" s="11" t="s">
        <v>5</v>
      </c>
      <c r="B126" s="12"/>
      <c r="C126" s="12"/>
      <c r="D126" s="12"/>
      <c r="E126" s="12"/>
      <c r="F126" s="12"/>
      <c r="G126" s="12"/>
      <c r="I126" s="191" t="str">
        <f>K11</f>
        <v>117l15117</v>
      </c>
      <c r="J126" s="220" t="s">
        <v>6</v>
      </c>
      <c r="K126" s="221"/>
      <c r="L126" s="221"/>
      <c r="M126" s="219"/>
      <c r="N126" s="222"/>
      <c r="O126" s="221"/>
      <c r="P126" s="221"/>
      <c r="Q126" s="220"/>
    </row>
    <row r="127" spans="1:17" x14ac:dyDescent="0.35">
      <c r="A127" s="247" t="s">
        <v>51</v>
      </c>
      <c r="B127" s="604" t="s">
        <v>52</v>
      </c>
      <c r="C127" s="604"/>
      <c r="D127" s="604" t="s">
        <v>53</v>
      </c>
      <c r="E127" s="604"/>
      <c r="F127" s="604" t="s">
        <v>54</v>
      </c>
      <c r="G127" s="604"/>
      <c r="H127" s="248" t="s">
        <v>86</v>
      </c>
      <c r="I127" s="1"/>
      <c r="J127" s="224" t="s">
        <v>51</v>
      </c>
      <c r="K127" s="597" t="s">
        <v>52</v>
      </c>
      <c r="L127" s="597"/>
      <c r="M127" s="597" t="s">
        <v>53</v>
      </c>
      <c r="N127" s="597"/>
      <c r="O127" s="597" t="s">
        <v>54</v>
      </c>
      <c r="P127" s="597"/>
      <c r="Q127" s="223" t="s">
        <v>86</v>
      </c>
    </row>
    <row r="128" spans="1:17" x14ac:dyDescent="0.35">
      <c r="A128" s="13">
        <v>1</v>
      </c>
      <c r="B128" s="15">
        <f t="shared" ref="B128:B134" si="48">D128+F128</f>
        <v>14.8</v>
      </c>
      <c r="C128" s="33" t="s">
        <v>55</v>
      </c>
      <c r="D128" s="35">
        <v>15</v>
      </c>
      <c r="E128" s="33" t="str">
        <f t="shared" ref="E128:E134" si="49">$C$32</f>
        <v>°C</v>
      </c>
      <c r="F128" s="31">
        <v>-0.2</v>
      </c>
      <c r="G128" s="33" t="str">
        <f t="shared" ref="G128:G134" si="50">$C$32</f>
        <v>°C</v>
      </c>
      <c r="H128" s="598">
        <v>0.5</v>
      </c>
      <c r="J128" s="225">
        <v>1</v>
      </c>
      <c r="K128" s="226">
        <f t="shared" ref="K128:K134" si="51">M128+O128</f>
        <v>23.6</v>
      </c>
      <c r="L128" s="227" t="s">
        <v>31</v>
      </c>
      <c r="M128" s="228">
        <v>30</v>
      </c>
      <c r="N128" s="227" t="str">
        <f t="shared" ref="N128:N134" si="52">$L$32</f>
        <v>%</v>
      </c>
      <c r="O128" s="226">
        <v>-6.4</v>
      </c>
      <c r="P128" s="227" t="str">
        <f t="shared" ref="P128:P134" si="53">$L$32</f>
        <v>%</v>
      </c>
      <c r="Q128" s="601">
        <v>1.3</v>
      </c>
    </row>
    <row r="129" spans="1:17" x14ac:dyDescent="0.35">
      <c r="A129" s="13">
        <v>2</v>
      </c>
      <c r="B129" s="15">
        <f t="shared" si="48"/>
        <v>19.5</v>
      </c>
      <c r="C129" s="33" t="str">
        <f>$C$32</f>
        <v>°C</v>
      </c>
      <c r="D129" s="35">
        <v>20</v>
      </c>
      <c r="E129" s="33" t="str">
        <f t="shared" si="49"/>
        <v>°C</v>
      </c>
      <c r="F129" s="31">
        <v>-0.5</v>
      </c>
      <c r="G129" s="33" t="str">
        <f t="shared" si="50"/>
        <v>°C</v>
      </c>
      <c r="H129" s="599"/>
      <c r="J129" s="225">
        <v>2</v>
      </c>
      <c r="K129" s="226">
        <f t="shared" si="51"/>
        <v>33.6</v>
      </c>
      <c r="L129" s="227" t="str">
        <f t="shared" ref="L129:L134" si="54">$L$32</f>
        <v>%</v>
      </c>
      <c r="M129" s="228">
        <v>40</v>
      </c>
      <c r="N129" s="227" t="str">
        <f t="shared" si="52"/>
        <v>%</v>
      </c>
      <c r="O129" s="226">
        <v>-6.4</v>
      </c>
      <c r="P129" s="227" t="str">
        <f t="shared" si="53"/>
        <v>%</v>
      </c>
      <c r="Q129" s="602"/>
    </row>
    <row r="130" spans="1:17" x14ac:dyDescent="0.35">
      <c r="A130" s="13">
        <v>3</v>
      </c>
      <c r="B130" s="15">
        <f t="shared" si="48"/>
        <v>24.1</v>
      </c>
      <c r="C130" s="33" t="str">
        <f t="shared" ref="C130:C134" si="55">$C$32</f>
        <v>°C</v>
      </c>
      <c r="D130" s="35">
        <v>25</v>
      </c>
      <c r="E130" s="33" t="str">
        <f t="shared" si="49"/>
        <v>°C</v>
      </c>
      <c r="F130" s="31">
        <v>-0.9</v>
      </c>
      <c r="G130" s="33" t="str">
        <f t="shared" si="50"/>
        <v>°C</v>
      </c>
      <c r="H130" s="599"/>
      <c r="J130" s="225">
        <v>3</v>
      </c>
      <c r="K130" s="226">
        <f t="shared" si="51"/>
        <v>43.6</v>
      </c>
      <c r="L130" s="227" t="str">
        <f t="shared" si="54"/>
        <v>%</v>
      </c>
      <c r="M130" s="228">
        <v>50</v>
      </c>
      <c r="N130" s="227" t="str">
        <f t="shared" si="52"/>
        <v>%</v>
      </c>
      <c r="O130" s="226">
        <v>-6.4</v>
      </c>
      <c r="P130" s="227" t="str">
        <f t="shared" si="53"/>
        <v>%</v>
      </c>
      <c r="Q130" s="602"/>
    </row>
    <row r="131" spans="1:17" x14ac:dyDescent="0.35">
      <c r="A131" s="13">
        <v>4</v>
      </c>
      <c r="B131" s="15">
        <f t="shared" si="48"/>
        <v>30</v>
      </c>
      <c r="C131" s="33" t="str">
        <f t="shared" si="55"/>
        <v>°C</v>
      </c>
      <c r="D131" s="35">
        <v>30</v>
      </c>
      <c r="E131" s="33" t="str">
        <f t="shared" si="49"/>
        <v>°C</v>
      </c>
      <c r="F131" s="31">
        <v>0</v>
      </c>
      <c r="G131" s="33" t="str">
        <f t="shared" si="50"/>
        <v>°C</v>
      </c>
      <c r="H131" s="599"/>
      <c r="J131" s="225">
        <v>4</v>
      </c>
      <c r="K131" s="226">
        <f t="shared" si="51"/>
        <v>53.7</v>
      </c>
      <c r="L131" s="227" t="str">
        <f t="shared" si="54"/>
        <v>%</v>
      </c>
      <c r="M131" s="228">
        <v>60</v>
      </c>
      <c r="N131" s="227" t="str">
        <f t="shared" si="52"/>
        <v>%</v>
      </c>
      <c r="O131" s="226">
        <v>-6.3</v>
      </c>
      <c r="P131" s="227" t="str">
        <f t="shared" si="53"/>
        <v>%</v>
      </c>
      <c r="Q131" s="602"/>
    </row>
    <row r="132" spans="1:17" x14ac:dyDescent="0.35">
      <c r="A132" s="13">
        <v>5</v>
      </c>
      <c r="B132" s="15">
        <f t="shared" si="48"/>
        <v>33.299999999999997</v>
      </c>
      <c r="C132" s="33" t="str">
        <f t="shared" si="55"/>
        <v>°C</v>
      </c>
      <c r="D132" s="35">
        <v>35</v>
      </c>
      <c r="E132" s="33" t="str">
        <f t="shared" si="49"/>
        <v>°C</v>
      </c>
      <c r="F132" s="31">
        <v>-1.7</v>
      </c>
      <c r="G132" s="33" t="str">
        <f t="shared" si="50"/>
        <v>°C</v>
      </c>
      <c r="H132" s="599"/>
      <c r="J132" s="225">
        <v>5</v>
      </c>
      <c r="K132" s="226">
        <f t="shared" si="51"/>
        <v>63.7</v>
      </c>
      <c r="L132" s="227" t="str">
        <f t="shared" si="54"/>
        <v>%</v>
      </c>
      <c r="M132" s="228">
        <v>70</v>
      </c>
      <c r="N132" s="227" t="str">
        <f t="shared" si="52"/>
        <v>%</v>
      </c>
      <c r="O132" s="226">
        <v>-6.3</v>
      </c>
      <c r="P132" s="227" t="str">
        <f t="shared" si="53"/>
        <v>%</v>
      </c>
      <c r="Q132" s="602"/>
    </row>
    <row r="133" spans="1:17" x14ac:dyDescent="0.35">
      <c r="A133" s="13">
        <v>6</v>
      </c>
      <c r="B133" s="15">
        <f t="shared" si="48"/>
        <v>35.200000000000003</v>
      </c>
      <c r="C133" s="33" t="str">
        <f t="shared" si="55"/>
        <v>°C</v>
      </c>
      <c r="D133" s="35">
        <v>37</v>
      </c>
      <c r="E133" s="33" t="str">
        <f t="shared" si="49"/>
        <v>°C</v>
      </c>
      <c r="F133" s="31">
        <v>-1.8</v>
      </c>
      <c r="G133" s="33" t="str">
        <f t="shared" si="50"/>
        <v>°C</v>
      </c>
      <c r="H133" s="599"/>
      <c r="J133" s="225">
        <v>6</v>
      </c>
      <c r="K133" s="226">
        <f t="shared" si="51"/>
        <v>73.8</v>
      </c>
      <c r="L133" s="227" t="str">
        <f t="shared" si="54"/>
        <v>%</v>
      </c>
      <c r="M133" s="228">
        <v>80</v>
      </c>
      <c r="N133" s="227" t="str">
        <f t="shared" si="52"/>
        <v>%</v>
      </c>
      <c r="O133" s="226">
        <v>-6.2</v>
      </c>
      <c r="P133" s="227" t="str">
        <f t="shared" si="53"/>
        <v>%</v>
      </c>
      <c r="Q133" s="602"/>
    </row>
    <row r="134" spans="1:17" x14ac:dyDescent="0.35">
      <c r="A134" s="13">
        <v>7</v>
      </c>
      <c r="B134" s="15">
        <f t="shared" si="48"/>
        <v>37.9</v>
      </c>
      <c r="C134" s="33" t="str">
        <f t="shared" si="55"/>
        <v>°C</v>
      </c>
      <c r="D134" s="35">
        <v>40</v>
      </c>
      <c r="E134" s="33" t="str">
        <f t="shared" si="49"/>
        <v>°C</v>
      </c>
      <c r="F134" s="31">
        <v>-2.1</v>
      </c>
      <c r="G134" s="33" t="str">
        <f t="shared" si="50"/>
        <v>°C</v>
      </c>
      <c r="H134" s="600"/>
      <c r="J134" s="225">
        <v>7</v>
      </c>
      <c r="K134" s="226">
        <f t="shared" si="51"/>
        <v>83.8</v>
      </c>
      <c r="L134" s="227" t="str">
        <f t="shared" si="54"/>
        <v>%</v>
      </c>
      <c r="M134" s="228">
        <v>90</v>
      </c>
      <c r="N134" s="227" t="str">
        <f t="shared" si="52"/>
        <v>%</v>
      </c>
      <c r="O134" s="226">
        <v>-6.2</v>
      </c>
      <c r="P134" s="227" t="str">
        <f t="shared" si="53"/>
        <v>%</v>
      </c>
      <c r="Q134" s="603"/>
    </row>
    <row r="135" spans="1:17" x14ac:dyDescent="0.35">
      <c r="F135" s="16"/>
      <c r="G135" s="16"/>
      <c r="J135" s="220"/>
      <c r="K135" s="221"/>
      <c r="L135" s="221"/>
      <c r="M135" s="222"/>
      <c r="N135" s="222"/>
      <c r="O135" s="221"/>
      <c r="P135" s="221"/>
      <c r="Q135" s="220"/>
    </row>
    <row r="136" spans="1:17" x14ac:dyDescent="0.35">
      <c r="B136" s="51" t="s">
        <v>93</v>
      </c>
      <c r="C136" s="34">
        <f t="array" ref="C136:D140">LINEST(D128:D134,B128:B134,1,1)</f>
        <v>1.075759332998286</v>
      </c>
      <c r="D136" s="34">
        <v>-1.0797025811523007</v>
      </c>
      <c r="E136" s="52" t="s">
        <v>98</v>
      </c>
      <c r="F136" s="16"/>
      <c r="G136" s="16"/>
      <c r="J136" s="220"/>
      <c r="K136" s="229" t="s">
        <v>93</v>
      </c>
      <c r="L136" s="192">
        <f t="array" ref="L136:M140">LINEST(M128:M134,K128:K134,1,1)</f>
        <v>0.99608491096133822</v>
      </c>
      <c r="M136" s="192">
        <v>6.5244700658184343</v>
      </c>
      <c r="N136" s="230" t="s">
        <v>98</v>
      </c>
      <c r="O136" s="220"/>
      <c r="P136" s="220"/>
      <c r="Q136" s="220"/>
    </row>
    <row r="137" spans="1:17" x14ac:dyDescent="0.35">
      <c r="B137" s="51" t="s">
        <v>94</v>
      </c>
      <c r="C137" s="34">
        <v>2.7602063269546735E-2</v>
      </c>
      <c r="D137" s="34">
        <v>0.79892461247915947</v>
      </c>
      <c r="E137" s="52" t="s">
        <v>99</v>
      </c>
      <c r="F137" s="16"/>
      <c r="G137" s="16"/>
      <c r="J137" s="220"/>
      <c r="K137" s="229" t="s">
        <v>94</v>
      </c>
      <c r="L137" s="192">
        <v>6.1375655440682505E-4</v>
      </c>
      <c r="M137" s="192">
        <v>3.5179044354862479E-2</v>
      </c>
      <c r="N137" s="230" t="s">
        <v>99</v>
      </c>
      <c r="O137" s="220"/>
      <c r="P137" s="220"/>
      <c r="Q137" s="220"/>
    </row>
    <row r="138" spans="1:17" x14ac:dyDescent="0.35">
      <c r="B138" s="51" t="s">
        <v>95</v>
      </c>
      <c r="C138" s="34">
        <v>0.99671908011872279</v>
      </c>
      <c r="D138" s="34">
        <v>0.58124092010414641</v>
      </c>
      <c r="E138" s="52" t="s">
        <v>100</v>
      </c>
      <c r="F138" s="16"/>
      <c r="G138" s="16"/>
      <c r="J138" s="220"/>
      <c r="K138" s="229" t="s">
        <v>95</v>
      </c>
      <c r="L138" s="192">
        <v>0.99999810168297198</v>
      </c>
      <c r="M138" s="192">
        <v>3.2604563111793508E-2</v>
      </c>
      <c r="N138" s="230" t="s">
        <v>100</v>
      </c>
      <c r="O138" s="220"/>
      <c r="P138" s="220"/>
      <c r="Q138" s="220"/>
    </row>
    <row r="139" spans="1:17" x14ac:dyDescent="0.35">
      <c r="B139" s="51" t="s">
        <v>96</v>
      </c>
      <c r="C139" s="34">
        <v>1518.9628460703527</v>
      </c>
      <c r="D139" s="34">
        <v>5</v>
      </c>
      <c r="E139" s="52" t="s">
        <v>101</v>
      </c>
      <c r="F139" s="16"/>
      <c r="G139" s="16"/>
      <c r="J139" s="220"/>
      <c r="K139" s="229" t="s">
        <v>96</v>
      </c>
      <c r="L139" s="192">
        <v>2633907.0000005309</v>
      </c>
      <c r="M139" s="192">
        <v>5</v>
      </c>
      <c r="N139" s="230" t="s">
        <v>101</v>
      </c>
      <c r="O139" s="220"/>
      <c r="P139" s="220"/>
      <c r="Q139" s="220"/>
    </row>
    <row r="140" spans="1:17" x14ac:dyDescent="0.35">
      <c r="B140" s="51" t="s">
        <v>97</v>
      </c>
      <c r="C140" s="34">
        <v>513.16793782112529</v>
      </c>
      <c r="D140" s="34">
        <v>1.6892050360175737</v>
      </c>
      <c r="E140" s="52" t="s">
        <v>102</v>
      </c>
      <c r="F140" s="16"/>
      <c r="G140" s="16"/>
      <c r="J140" s="220"/>
      <c r="K140" s="229" t="s">
        <v>97</v>
      </c>
      <c r="L140" s="192">
        <v>2799.9946847123215</v>
      </c>
      <c r="M140" s="192">
        <v>5.3152876785546284E-3</v>
      </c>
      <c r="N140" s="230" t="s">
        <v>102</v>
      </c>
      <c r="O140" s="220"/>
      <c r="P140" s="220"/>
      <c r="Q140" s="220"/>
    </row>
    <row r="142" spans="1:17" x14ac:dyDescent="0.35">
      <c r="A142" s="11" t="s">
        <v>5</v>
      </c>
      <c r="B142" s="12"/>
      <c r="C142" s="12"/>
      <c r="D142" s="12"/>
      <c r="E142" s="12"/>
      <c r="F142" s="12"/>
      <c r="G142" s="12"/>
      <c r="I142" s="16">
        <f>K12</f>
        <v>10050021</v>
      </c>
      <c r="J142" t="s">
        <v>6</v>
      </c>
      <c r="K142" s="16"/>
      <c r="L142" s="16"/>
      <c r="M142" s="12"/>
      <c r="N142" s="17"/>
      <c r="O142" s="16"/>
      <c r="P142" s="16"/>
    </row>
    <row r="143" spans="1:17" x14ac:dyDescent="0.35">
      <c r="A143" s="247" t="s">
        <v>51</v>
      </c>
      <c r="B143" s="604" t="s">
        <v>52</v>
      </c>
      <c r="C143" s="604"/>
      <c r="D143" s="604" t="s">
        <v>53</v>
      </c>
      <c r="E143" s="604"/>
      <c r="F143" s="604" t="s">
        <v>54</v>
      </c>
      <c r="G143" s="604"/>
      <c r="H143" s="248" t="s">
        <v>86</v>
      </c>
      <c r="I143" s="1"/>
      <c r="J143" s="249" t="s">
        <v>51</v>
      </c>
      <c r="K143" s="604" t="s">
        <v>52</v>
      </c>
      <c r="L143" s="604"/>
      <c r="M143" s="604" t="s">
        <v>53</v>
      </c>
      <c r="N143" s="604"/>
      <c r="O143" s="604" t="s">
        <v>54</v>
      </c>
      <c r="P143" s="604"/>
      <c r="Q143" s="248" t="s">
        <v>86</v>
      </c>
    </row>
    <row r="144" spans="1:17" x14ac:dyDescent="0.35">
      <c r="A144" s="13">
        <v>1</v>
      </c>
      <c r="B144" s="15">
        <f t="shared" ref="B144:B150" si="56">D144+F144</f>
        <v>14.4</v>
      </c>
      <c r="C144" s="33" t="s">
        <v>55</v>
      </c>
      <c r="D144" s="35">
        <v>15</v>
      </c>
      <c r="E144" s="33" t="str">
        <f t="shared" ref="E144:E150" si="57">$C$32</f>
        <v>°C</v>
      </c>
      <c r="F144" s="31">
        <v>-0.6</v>
      </c>
      <c r="G144" s="33" t="str">
        <f t="shared" ref="G144:G150" si="58">$C$32</f>
        <v>°C</v>
      </c>
      <c r="H144" s="598">
        <v>0.5</v>
      </c>
      <c r="J144" s="13">
        <v>1</v>
      </c>
      <c r="K144" s="14">
        <f t="shared" ref="K144:K150" si="59">M144+O144</f>
        <v>25.6</v>
      </c>
      <c r="L144" s="18" t="s">
        <v>31</v>
      </c>
      <c r="M144" s="36">
        <v>30</v>
      </c>
      <c r="N144" s="18" t="str">
        <f t="shared" ref="N144:N150" si="60">$L$32</f>
        <v>%</v>
      </c>
      <c r="O144" s="37">
        <v>-4.4000000000000004</v>
      </c>
      <c r="P144" s="18" t="str">
        <f t="shared" ref="P144:P150" si="61">$L$32</f>
        <v>%</v>
      </c>
      <c r="Q144" s="598">
        <v>2.2999999999999998</v>
      </c>
    </row>
    <row r="145" spans="1:17" x14ac:dyDescent="0.35">
      <c r="A145" s="13">
        <v>2</v>
      </c>
      <c r="B145" s="15">
        <f t="shared" si="56"/>
        <v>19.5</v>
      </c>
      <c r="C145" s="33" t="str">
        <f>$C$32</f>
        <v>°C</v>
      </c>
      <c r="D145" s="35">
        <v>20</v>
      </c>
      <c r="E145" s="33" t="str">
        <f t="shared" si="57"/>
        <v>°C</v>
      </c>
      <c r="F145" s="31">
        <v>-0.5</v>
      </c>
      <c r="G145" s="33" t="str">
        <f t="shared" si="58"/>
        <v>°C</v>
      </c>
      <c r="H145" s="599"/>
      <c r="J145" s="13">
        <v>2</v>
      </c>
      <c r="K145" s="14">
        <f t="shared" si="59"/>
        <v>34.799999999999997</v>
      </c>
      <c r="L145" s="18" t="str">
        <f t="shared" ref="L145:L150" si="62">$L$32</f>
        <v>%</v>
      </c>
      <c r="M145" s="36">
        <v>40</v>
      </c>
      <c r="N145" s="18" t="str">
        <f t="shared" si="60"/>
        <v>%</v>
      </c>
      <c r="O145" s="37">
        <v>-5.2</v>
      </c>
      <c r="P145" s="18" t="str">
        <f t="shared" si="61"/>
        <v>%</v>
      </c>
      <c r="Q145" s="599"/>
    </row>
    <row r="146" spans="1:17" x14ac:dyDescent="0.35">
      <c r="A146" s="13">
        <v>3</v>
      </c>
      <c r="B146" s="15">
        <f t="shared" si="56"/>
        <v>24.5</v>
      </c>
      <c r="C146" s="33" t="str">
        <f t="shared" ref="C146:C150" si="63">$C$32</f>
        <v>°C</v>
      </c>
      <c r="D146" s="35">
        <v>25</v>
      </c>
      <c r="E146" s="33" t="str">
        <f t="shared" si="57"/>
        <v>°C</v>
      </c>
      <c r="F146" s="31">
        <v>-0.5</v>
      </c>
      <c r="G146" s="33" t="str">
        <f t="shared" si="58"/>
        <v>°C</v>
      </c>
      <c r="H146" s="599"/>
      <c r="J146" s="13">
        <v>3</v>
      </c>
      <c r="K146" s="14">
        <f t="shared" si="59"/>
        <v>44</v>
      </c>
      <c r="L146" s="18" t="str">
        <f t="shared" si="62"/>
        <v>%</v>
      </c>
      <c r="M146" s="36">
        <v>50</v>
      </c>
      <c r="N146" s="18" t="str">
        <f t="shared" si="60"/>
        <v>%</v>
      </c>
      <c r="O146" s="37">
        <v>-6</v>
      </c>
      <c r="P146" s="18" t="str">
        <f t="shared" si="61"/>
        <v>%</v>
      </c>
      <c r="Q146" s="599"/>
    </row>
    <row r="147" spans="1:17" x14ac:dyDescent="0.35">
      <c r="A147" s="13">
        <v>4</v>
      </c>
      <c r="B147" s="15">
        <f t="shared" si="56"/>
        <v>29.5</v>
      </c>
      <c r="C147" s="33" t="str">
        <f t="shared" si="63"/>
        <v>°C</v>
      </c>
      <c r="D147" s="35">
        <v>30</v>
      </c>
      <c r="E147" s="33" t="str">
        <f t="shared" si="57"/>
        <v>°C</v>
      </c>
      <c r="F147" s="31">
        <v>-0.5</v>
      </c>
      <c r="G147" s="33" t="str">
        <f t="shared" si="58"/>
        <v>°C</v>
      </c>
      <c r="H147" s="599"/>
      <c r="J147" s="13">
        <v>4</v>
      </c>
      <c r="K147" s="14">
        <f t="shared" si="59"/>
        <v>53.2</v>
      </c>
      <c r="L147" s="18" t="str">
        <f t="shared" si="62"/>
        <v>%</v>
      </c>
      <c r="M147" s="36">
        <v>60</v>
      </c>
      <c r="N147" s="18" t="str">
        <f t="shared" si="60"/>
        <v>%</v>
      </c>
      <c r="O147" s="37">
        <v>-6.8</v>
      </c>
      <c r="P147" s="18" t="str">
        <f t="shared" si="61"/>
        <v>%</v>
      </c>
      <c r="Q147" s="599"/>
    </row>
    <row r="148" spans="1:17" x14ac:dyDescent="0.35">
      <c r="A148" s="13">
        <v>5</v>
      </c>
      <c r="B148" s="15">
        <f t="shared" si="56"/>
        <v>34.5</v>
      </c>
      <c r="C148" s="33" t="str">
        <f t="shared" si="63"/>
        <v>°C</v>
      </c>
      <c r="D148" s="35">
        <v>35</v>
      </c>
      <c r="E148" s="33" t="str">
        <f t="shared" si="57"/>
        <v>°C</v>
      </c>
      <c r="F148" s="31">
        <v>-0.5</v>
      </c>
      <c r="G148" s="33" t="str">
        <f t="shared" si="58"/>
        <v>°C</v>
      </c>
      <c r="H148" s="599"/>
      <c r="J148" s="13">
        <v>5</v>
      </c>
      <c r="K148" s="14">
        <f t="shared" si="59"/>
        <v>62.5</v>
      </c>
      <c r="L148" s="18" t="str">
        <f t="shared" si="62"/>
        <v>%</v>
      </c>
      <c r="M148" s="36">
        <v>70</v>
      </c>
      <c r="N148" s="18" t="str">
        <f t="shared" si="60"/>
        <v>%</v>
      </c>
      <c r="O148" s="37">
        <v>-7.5</v>
      </c>
      <c r="P148" s="18" t="str">
        <f t="shared" si="61"/>
        <v>%</v>
      </c>
      <c r="Q148" s="599"/>
    </row>
    <row r="149" spans="1:17" x14ac:dyDescent="0.35">
      <c r="A149" s="13">
        <v>6</v>
      </c>
      <c r="B149" s="15">
        <f t="shared" si="56"/>
        <v>36.5</v>
      </c>
      <c r="C149" s="33" t="str">
        <f t="shared" si="63"/>
        <v>°C</v>
      </c>
      <c r="D149" s="35">
        <v>37</v>
      </c>
      <c r="E149" s="33" t="str">
        <f t="shared" si="57"/>
        <v>°C</v>
      </c>
      <c r="F149" s="31">
        <v>-0.5</v>
      </c>
      <c r="G149" s="33" t="str">
        <f t="shared" si="58"/>
        <v>°C</v>
      </c>
      <c r="H149" s="599"/>
      <c r="J149" s="13">
        <v>6</v>
      </c>
      <c r="K149" s="14">
        <f t="shared" si="59"/>
        <v>71.8</v>
      </c>
      <c r="L149" s="18" t="str">
        <f t="shared" si="62"/>
        <v>%</v>
      </c>
      <c r="M149" s="36">
        <v>80</v>
      </c>
      <c r="N149" s="18" t="str">
        <f t="shared" si="60"/>
        <v>%</v>
      </c>
      <c r="O149" s="37">
        <v>-8.1999999999999993</v>
      </c>
      <c r="P149" s="18" t="str">
        <f t="shared" si="61"/>
        <v>%</v>
      </c>
      <c r="Q149" s="599"/>
    </row>
    <row r="150" spans="1:17" x14ac:dyDescent="0.35">
      <c r="A150" s="13">
        <v>7</v>
      </c>
      <c r="B150" s="15">
        <f t="shared" si="56"/>
        <v>39.5</v>
      </c>
      <c r="C150" s="33" t="str">
        <f t="shared" si="63"/>
        <v>°C</v>
      </c>
      <c r="D150" s="35">
        <v>40</v>
      </c>
      <c r="E150" s="33" t="str">
        <f t="shared" si="57"/>
        <v>°C</v>
      </c>
      <c r="F150" s="31">
        <v>-0.5</v>
      </c>
      <c r="G150" s="33" t="str">
        <f t="shared" si="58"/>
        <v>°C</v>
      </c>
      <c r="H150" s="600"/>
      <c r="J150" s="13">
        <v>7</v>
      </c>
      <c r="K150" s="14">
        <f t="shared" si="59"/>
        <v>81.099999999999994</v>
      </c>
      <c r="L150" s="18" t="str">
        <f t="shared" si="62"/>
        <v>%</v>
      </c>
      <c r="M150" s="36">
        <v>90</v>
      </c>
      <c r="N150" s="18" t="str">
        <f t="shared" si="60"/>
        <v>%</v>
      </c>
      <c r="O150" s="37">
        <v>-8.9</v>
      </c>
      <c r="P150" s="18" t="str">
        <f t="shared" si="61"/>
        <v>%</v>
      </c>
      <c r="Q150" s="600"/>
    </row>
    <row r="151" spans="1:17" x14ac:dyDescent="0.35">
      <c r="F151" s="16"/>
      <c r="G151" s="16"/>
      <c r="K151" s="16"/>
      <c r="L151" s="16"/>
      <c r="M151" s="17"/>
      <c r="N151" s="17"/>
      <c r="O151" s="16"/>
      <c r="P151" s="16"/>
    </row>
    <row r="152" spans="1:17" x14ac:dyDescent="0.35">
      <c r="B152" s="51" t="s">
        <v>93</v>
      </c>
      <c r="C152" s="34">
        <f t="array" ref="C152:D156">LINEST(D144:D150,B144:B150,1,1)</f>
        <v>0.99730644190911444</v>
      </c>
      <c r="D152" s="34">
        <v>0.59062884646166935</v>
      </c>
      <c r="E152" s="52" t="s">
        <v>98</v>
      </c>
      <c r="F152" s="16"/>
      <c r="G152" s="16"/>
      <c r="K152" s="51" t="s">
        <v>93</v>
      </c>
      <c r="L152" s="34">
        <f t="array" ref="L152:M156">LINEST(M144:M150,K144:K150,1,1)</f>
        <v>1.0810727007974772</v>
      </c>
      <c r="M152" s="34">
        <v>2.3942689432201476</v>
      </c>
      <c r="N152" s="52" t="s">
        <v>98</v>
      </c>
    </row>
    <row r="153" spans="1:17" x14ac:dyDescent="0.35">
      <c r="B153" s="51" t="s">
        <v>94</v>
      </c>
      <c r="C153" s="34">
        <v>1.3640750394656696E-3</v>
      </c>
      <c r="D153" s="34">
        <v>4.0402090791432525E-2</v>
      </c>
      <c r="E153" s="52" t="s">
        <v>99</v>
      </c>
      <c r="F153" s="16"/>
      <c r="G153" s="16"/>
      <c r="K153" s="51" t="s">
        <v>94</v>
      </c>
      <c r="L153" s="34">
        <v>1.3460828970622764E-3</v>
      </c>
      <c r="M153" s="34">
        <v>7.5926951002767737E-2</v>
      </c>
      <c r="N153" s="52" t="s">
        <v>99</v>
      </c>
    </row>
    <row r="154" spans="1:17" x14ac:dyDescent="0.35">
      <c r="B154" s="51" t="s">
        <v>95</v>
      </c>
      <c r="C154" s="34">
        <v>0.99999064626164469</v>
      </c>
      <c r="D154" s="34">
        <v>3.1034944835481418E-2</v>
      </c>
      <c r="E154" s="52" t="s">
        <v>100</v>
      </c>
      <c r="F154" s="16"/>
      <c r="G154" s="16"/>
      <c r="K154" s="51" t="s">
        <v>95</v>
      </c>
      <c r="L154" s="34">
        <v>0.99999224823766664</v>
      </c>
      <c r="M154" s="34">
        <v>6.588616627697251E-2</v>
      </c>
      <c r="N154" s="52" t="s">
        <v>100</v>
      </c>
    </row>
    <row r="155" spans="1:17" x14ac:dyDescent="0.35">
      <c r="B155" s="51" t="s">
        <v>96</v>
      </c>
      <c r="C155" s="34">
        <v>534540.6340566359</v>
      </c>
      <c r="D155" s="34">
        <v>5</v>
      </c>
      <c r="E155" s="52" t="s">
        <v>101</v>
      </c>
      <c r="F155" s="16"/>
      <c r="G155" s="16"/>
      <c r="K155" s="51" t="s">
        <v>96</v>
      </c>
      <c r="L155" s="34">
        <v>645009.61538465403</v>
      </c>
      <c r="M155" s="34">
        <v>5</v>
      </c>
      <c r="N155" s="52" t="s">
        <v>101</v>
      </c>
    </row>
    <row r="156" spans="1:17" x14ac:dyDescent="0.35">
      <c r="B156" s="51" t="s">
        <v>97</v>
      </c>
      <c r="C156" s="34">
        <v>514.85232701813823</v>
      </c>
      <c r="D156" s="34">
        <v>4.8158390047068744E-3</v>
      </c>
      <c r="E156" s="52" t="s">
        <v>102</v>
      </c>
      <c r="F156" s="16"/>
      <c r="G156" s="16"/>
      <c r="K156" s="51" t="s">
        <v>97</v>
      </c>
      <c r="L156" s="34">
        <v>2799.9782950654667</v>
      </c>
      <c r="M156" s="34">
        <v>2.1704934533384349E-2</v>
      </c>
      <c r="N156" s="52" t="s">
        <v>102</v>
      </c>
    </row>
    <row r="158" spans="1:17" x14ac:dyDescent="0.35">
      <c r="A158" s="11" t="s">
        <v>5</v>
      </c>
      <c r="B158" s="12"/>
      <c r="C158" s="12"/>
      <c r="D158" s="12"/>
      <c r="E158" s="12"/>
      <c r="F158" s="12"/>
      <c r="G158" s="12"/>
      <c r="I158" s="191" t="str">
        <f>K13</f>
        <v>116C13105</v>
      </c>
      <c r="J158" t="s">
        <v>6</v>
      </c>
      <c r="K158" s="16"/>
      <c r="L158" s="16"/>
      <c r="M158" s="12"/>
      <c r="N158" s="17"/>
      <c r="O158" s="16"/>
      <c r="P158" s="16"/>
    </row>
    <row r="159" spans="1:17" x14ac:dyDescent="0.35">
      <c r="A159" s="247" t="s">
        <v>51</v>
      </c>
      <c r="B159" s="604" t="s">
        <v>52</v>
      </c>
      <c r="C159" s="604"/>
      <c r="D159" s="604" t="s">
        <v>53</v>
      </c>
      <c r="E159" s="604"/>
      <c r="F159" s="604" t="s">
        <v>54</v>
      </c>
      <c r="G159" s="604"/>
      <c r="H159" s="248" t="s">
        <v>86</v>
      </c>
      <c r="I159" s="1"/>
      <c r="J159" s="249" t="s">
        <v>51</v>
      </c>
      <c r="K159" s="604" t="s">
        <v>52</v>
      </c>
      <c r="L159" s="604"/>
      <c r="M159" s="604" t="s">
        <v>53</v>
      </c>
      <c r="N159" s="604"/>
      <c r="O159" s="604" t="s">
        <v>54</v>
      </c>
      <c r="P159" s="604"/>
      <c r="Q159" s="248" t="s">
        <v>86</v>
      </c>
    </row>
    <row r="160" spans="1:17" x14ac:dyDescent="0.35">
      <c r="A160" s="13">
        <v>1</v>
      </c>
      <c r="B160" s="15">
        <f t="shared" ref="B160:B166" si="64">D160+F160</f>
        <v>15.1</v>
      </c>
      <c r="C160" s="33" t="s">
        <v>55</v>
      </c>
      <c r="D160" s="35">
        <v>15</v>
      </c>
      <c r="E160" s="33" t="str">
        <f t="shared" ref="E160:E166" si="65">$C$32</f>
        <v>°C</v>
      </c>
      <c r="F160" s="31">
        <v>0.1</v>
      </c>
      <c r="G160" s="33" t="str">
        <f t="shared" ref="G160:G166" si="66">$C$32</f>
        <v>°C</v>
      </c>
      <c r="H160" s="598">
        <v>0.5</v>
      </c>
      <c r="J160" s="13">
        <v>1</v>
      </c>
      <c r="K160" s="14">
        <f t="shared" ref="K160:K166" si="67">M160+O160</f>
        <v>25.6</v>
      </c>
      <c r="L160" s="18" t="s">
        <v>31</v>
      </c>
      <c r="M160" s="36">
        <v>30</v>
      </c>
      <c r="N160" s="18" t="str">
        <f t="shared" ref="N160:N166" si="68">$L$32</f>
        <v>%</v>
      </c>
      <c r="O160" s="37">
        <v>-4.4000000000000004</v>
      </c>
      <c r="P160" s="18" t="str">
        <f t="shared" ref="P160:P166" si="69">$L$32</f>
        <v>%</v>
      </c>
      <c r="Q160" s="598">
        <v>2.2999999999999998</v>
      </c>
    </row>
    <row r="161" spans="1:17" x14ac:dyDescent="0.35">
      <c r="A161" s="13">
        <v>2</v>
      </c>
      <c r="B161" s="15">
        <f t="shared" si="64"/>
        <v>20.100000000000001</v>
      </c>
      <c r="C161" s="33" t="str">
        <f>$C$32</f>
        <v>°C</v>
      </c>
      <c r="D161" s="35">
        <v>20</v>
      </c>
      <c r="E161" s="33" t="str">
        <f t="shared" si="65"/>
        <v>°C</v>
      </c>
      <c r="F161" s="31">
        <v>0.1</v>
      </c>
      <c r="G161" s="33" t="str">
        <f t="shared" si="66"/>
        <v>°C</v>
      </c>
      <c r="H161" s="599"/>
      <c r="J161" s="13">
        <v>2</v>
      </c>
      <c r="K161" s="14">
        <f t="shared" si="67"/>
        <v>34.799999999999997</v>
      </c>
      <c r="L161" s="18" t="str">
        <f t="shared" ref="L161:L166" si="70">$L$32</f>
        <v>%</v>
      </c>
      <c r="M161" s="36">
        <v>40</v>
      </c>
      <c r="N161" s="18" t="str">
        <f t="shared" si="68"/>
        <v>%</v>
      </c>
      <c r="O161" s="37">
        <v>-5.2</v>
      </c>
      <c r="P161" s="18" t="str">
        <f t="shared" si="69"/>
        <v>%</v>
      </c>
      <c r="Q161" s="599"/>
    </row>
    <row r="162" spans="1:17" x14ac:dyDescent="0.35">
      <c r="A162" s="13">
        <v>3</v>
      </c>
      <c r="B162" s="15">
        <f t="shared" si="64"/>
        <v>25.2</v>
      </c>
      <c r="C162" s="33" t="str">
        <f t="shared" ref="C162:C166" si="71">$C$32</f>
        <v>°C</v>
      </c>
      <c r="D162" s="35">
        <v>25</v>
      </c>
      <c r="E162" s="33" t="str">
        <f t="shared" si="65"/>
        <v>°C</v>
      </c>
      <c r="F162" s="31">
        <v>0.2</v>
      </c>
      <c r="G162" s="33" t="str">
        <f t="shared" si="66"/>
        <v>°C</v>
      </c>
      <c r="H162" s="599"/>
      <c r="J162" s="13">
        <v>3</v>
      </c>
      <c r="K162" s="14">
        <f t="shared" si="67"/>
        <v>44</v>
      </c>
      <c r="L162" s="18" t="str">
        <f t="shared" si="70"/>
        <v>%</v>
      </c>
      <c r="M162" s="36">
        <v>50</v>
      </c>
      <c r="N162" s="18" t="str">
        <f t="shared" si="68"/>
        <v>%</v>
      </c>
      <c r="O162" s="37">
        <v>-6</v>
      </c>
      <c r="P162" s="18" t="str">
        <f t="shared" si="69"/>
        <v>%</v>
      </c>
      <c r="Q162" s="599"/>
    </row>
    <row r="163" spans="1:17" x14ac:dyDescent="0.35">
      <c r="A163" s="13">
        <v>4</v>
      </c>
      <c r="B163" s="15">
        <f t="shared" si="64"/>
        <v>30.2</v>
      </c>
      <c r="C163" s="33" t="str">
        <f t="shared" si="71"/>
        <v>°C</v>
      </c>
      <c r="D163" s="35">
        <v>30</v>
      </c>
      <c r="E163" s="33" t="str">
        <f t="shared" si="65"/>
        <v>°C</v>
      </c>
      <c r="F163" s="31">
        <v>0.2</v>
      </c>
      <c r="G163" s="33" t="str">
        <f t="shared" si="66"/>
        <v>°C</v>
      </c>
      <c r="H163" s="599"/>
      <c r="J163" s="13">
        <v>4</v>
      </c>
      <c r="K163" s="14">
        <f t="shared" si="67"/>
        <v>53.2</v>
      </c>
      <c r="L163" s="18" t="str">
        <f t="shared" si="70"/>
        <v>%</v>
      </c>
      <c r="M163" s="36">
        <v>60</v>
      </c>
      <c r="N163" s="18" t="str">
        <f t="shared" si="68"/>
        <v>%</v>
      </c>
      <c r="O163" s="37">
        <v>-6.8</v>
      </c>
      <c r="P163" s="18" t="str">
        <f t="shared" si="69"/>
        <v>%</v>
      </c>
      <c r="Q163" s="599"/>
    </row>
    <row r="164" spans="1:17" x14ac:dyDescent="0.35">
      <c r="A164" s="13">
        <v>5</v>
      </c>
      <c r="B164" s="15">
        <f t="shared" si="64"/>
        <v>35.200000000000003</v>
      </c>
      <c r="C164" s="33" t="str">
        <f t="shared" si="71"/>
        <v>°C</v>
      </c>
      <c r="D164" s="35">
        <v>35</v>
      </c>
      <c r="E164" s="33" t="str">
        <f t="shared" si="65"/>
        <v>°C</v>
      </c>
      <c r="F164" s="31">
        <v>0.2</v>
      </c>
      <c r="G164" s="33" t="str">
        <f t="shared" si="66"/>
        <v>°C</v>
      </c>
      <c r="H164" s="599"/>
      <c r="J164" s="13">
        <v>5</v>
      </c>
      <c r="K164" s="14">
        <f t="shared" si="67"/>
        <v>62.5</v>
      </c>
      <c r="L164" s="18" t="str">
        <f t="shared" si="70"/>
        <v>%</v>
      </c>
      <c r="M164" s="36">
        <v>70</v>
      </c>
      <c r="N164" s="18" t="str">
        <f t="shared" si="68"/>
        <v>%</v>
      </c>
      <c r="O164" s="37">
        <v>-7.5</v>
      </c>
      <c r="P164" s="18" t="str">
        <f t="shared" si="69"/>
        <v>%</v>
      </c>
      <c r="Q164" s="599"/>
    </row>
    <row r="165" spans="1:17" x14ac:dyDescent="0.35">
      <c r="A165" s="13">
        <v>6</v>
      </c>
      <c r="B165" s="15">
        <f t="shared" si="64"/>
        <v>37.200000000000003</v>
      </c>
      <c r="C165" s="33" t="str">
        <f t="shared" si="71"/>
        <v>°C</v>
      </c>
      <c r="D165" s="35">
        <v>37</v>
      </c>
      <c r="E165" s="33" t="str">
        <f t="shared" si="65"/>
        <v>°C</v>
      </c>
      <c r="F165" s="31">
        <v>0.2</v>
      </c>
      <c r="G165" s="33" t="str">
        <f t="shared" si="66"/>
        <v>°C</v>
      </c>
      <c r="H165" s="599"/>
      <c r="J165" s="13">
        <v>6</v>
      </c>
      <c r="K165" s="14">
        <f t="shared" si="67"/>
        <v>71.8</v>
      </c>
      <c r="L165" s="18" t="str">
        <f t="shared" si="70"/>
        <v>%</v>
      </c>
      <c r="M165" s="36">
        <v>80</v>
      </c>
      <c r="N165" s="18" t="str">
        <f t="shared" si="68"/>
        <v>%</v>
      </c>
      <c r="O165" s="37">
        <v>-8.1999999999999993</v>
      </c>
      <c r="P165" s="18" t="str">
        <f t="shared" si="69"/>
        <v>%</v>
      </c>
      <c r="Q165" s="599"/>
    </row>
    <row r="166" spans="1:17" x14ac:dyDescent="0.35">
      <c r="A166" s="13">
        <v>7</v>
      </c>
      <c r="B166" s="15">
        <f t="shared" si="64"/>
        <v>40.1</v>
      </c>
      <c r="C166" s="33" t="str">
        <f t="shared" si="71"/>
        <v>°C</v>
      </c>
      <c r="D166" s="35">
        <v>40</v>
      </c>
      <c r="E166" s="33" t="str">
        <f t="shared" si="65"/>
        <v>°C</v>
      </c>
      <c r="F166" s="31">
        <v>0.1</v>
      </c>
      <c r="G166" s="33" t="str">
        <f t="shared" si="66"/>
        <v>°C</v>
      </c>
      <c r="H166" s="600"/>
      <c r="J166" s="13">
        <v>7</v>
      </c>
      <c r="K166" s="14">
        <f t="shared" si="67"/>
        <v>81.099999999999994</v>
      </c>
      <c r="L166" s="18" t="str">
        <f t="shared" si="70"/>
        <v>%</v>
      </c>
      <c r="M166" s="36">
        <v>90</v>
      </c>
      <c r="N166" s="18" t="str">
        <f t="shared" si="68"/>
        <v>%</v>
      </c>
      <c r="O166" s="37">
        <v>-8.9</v>
      </c>
      <c r="P166" s="18" t="str">
        <f t="shared" si="69"/>
        <v>%</v>
      </c>
      <c r="Q166" s="600"/>
    </row>
    <row r="167" spans="1:17" x14ac:dyDescent="0.35">
      <c r="F167" s="16"/>
      <c r="G167" s="16"/>
      <c r="K167" s="16"/>
      <c r="L167" s="16"/>
      <c r="M167" s="17"/>
      <c r="N167" s="17"/>
      <c r="O167" s="16"/>
      <c r="P167" s="16"/>
    </row>
    <row r="168" spans="1:17" x14ac:dyDescent="0.35">
      <c r="B168" s="51" t="s">
        <v>93</v>
      </c>
      <c r="C168" s="34">
        <f t="array" ref="C168:D172">LINEST(D160:D166,B160:B166,1,1)</f>
        <v>0.99772948247668691</v>
      </c>
      <c r="D168" s="34">
        <v>-9.1265413002155071E-2</v>
      </c>
      <c r="E168" s="52" t="s">
        <v>98</v>
      </c>
      <c r="F168" s="16"/>
      <c r="G168" s="16"/>
      <c r="K168" s="51" t="s">
        <v>93</v>
      </c>
      <c r="L168" s="34">
        <f t="array" ref="L168:M172">LINEST(M160:M166,K160:K166,1,1)</f>
        <v>1.0810727007974772</v>
      </c>
      <c r="M168" s="34">
        <v>2.3942689432201476</v>
      </c>
      <c r="N168" s="52" t="s">
        <v>98</v>
      </c>
    </row>
    <row r="169" spans="1:17" x14ac:dyDescent="0.35">
      <c r="B169" s="51" t="s">
        <v>94</v>
      </c>
      <c r="C169" s="34">
        <v>2.366051199470334E-3</v>
      </c>
      <c r="D169" s="34">
        <v>7.1598478618411995E-2</v>
      </c>
      <c r="E169" s="52" t="s">
        <v>99</v>
      </c>
      <c r="F169" s="16"/>
      <c r="G169" s="16"/>
      <c r="K169" s="51" t="s">
        <v>94</v>
      </c>
      <c r="L169" s="34">
        <v>1.3460828970622764E-3</v>
      </c>
      <c r="M169" s="34">
        <v>7.5926951002767737E-2</v>
      </c>
      <c r="N169" s="52" t="s">
        <v>99</v>
      </c>
    </row>
    <row r="170" spans="1:17" x14ac:dyDescent="0.35">
      <c r="B170" s="51" t="s">
        <v>95</v>
      </c>
      <c r="C170" s="34">
        <v>0.99997188225694833</v>
      </c>
      <c r="D170" s="34">
        <v>5.3808216568095479E-2</v>
      </c>
      <c r="E170" s="52" t="s">
        <v>100</v>
      </c>
      <c r="F170" s="16"/>
      <c r="G170" s="16"/>
      <c r="K170" s="51" t="s">
        <v>95</v>
      </c>
      <c r="L170" s="34">
        <v>0.99999224823766664</v>
      </c>
      <c r="M170" s="34">
        <v>6.588616627697251E-2</v>
      </c>
      <c r="N170" s="52" t="s">
        <v>100</v>
      </c>
    </row>
    <row r="171" spans="1:17" x14ac:dyDescent="0.35">
      <c r="B171" s="51" t="s">
        <v>96</v>
      </c>
      <c r="C171" s="34">
        <v>177818.66069725159</v>
      </c>
      <c r="D171" s="34">
        <v>5</v>
      </c>
      <c r="E171" s="52" t="s">
        <v>101</v>
      </c>
      <c r="F171" s="16"/>
      <c r="G171" s="16"/>
      <c r="K171" s="51" t="s">
        <v>96</v>
      </c>
      <c r="L171" s="34">
        <v>645009.61538465403</v>
      </c>
      <c r="M171" s="34">
        <v>5</v>
      </c>
      <c r="N171" s="52" t="s">
        <v>101</v>
      </c>
    </row>
    <row r="172" spans="1:17" x14ac:dyDescent="0.35">
      <c r="B172" s="51" t="s">
        <v>97</v>
      </c>
      <c r="C172" s="34">
        <v>514.84266623629173</v>
      </c>
      <c r="D172" s="34">
        <v>1.4476620851195322E-2</v>
      </c>
      <c r="E172" s="52" t="s">
        <v>102</v>
      </c>
      <c r="F172" s="16"/>
      <c r="G172" s="16"/>
      <c r="K172" s="51" t="s">
        <v>97</v>
      </c>
      <c r="L172" s="34">
        <v>2799.9782950654667</v>
      </c>
      <c r="M172" s="34">
        <v>2.1704934533384349E-2</v>
      </c>
      <c r="N172" s="52" t="s">
        <v>102</v>
      </c>
    </row>
  </sheetData>
  <mergeCells count="82">
    <mergeCell ref="H160:H166"/>
    <mergeCell ref="Q160:Q166"/>
    <mergeCell ref="O143:P143"/>
    <mergeCell ref="H144:H150"/>
    <mergeCell ref="Q144:Q150"/>
    <mergeCell ref="O159:P159"/>
    <mergeCell ref="B159:C159"/>
    <mergeCell ref="D159:E159"/>
    <mergeCell ref="F159:G159"/>
    <mergeCell ref="K159:L159"/>
    <mergeCell ref="M159:N159"/>
    <mergeCell ref="B143:C143"/>
    <mergeCell ref="D143:E143"/>
    <mergeCell ref="F143:G143"/>
    <mergeCell ref="K143:L143"/>
    <mergeCell ref="M143:N143"/>
    <mergeCell ref="Q3:Q4"/>
    <mergeCell ref="J3:J4"/>
    <mergeCell ref="K3:K4"/>
    <mergeCell ref="L3:M3"/>
    <mergeCell ref="N3:O3"/>
    <mergeCell ref="P3:P4"/>
    <mergeCell ref="J1:Q1"/>
    <mergeCell ref="J2:Q2"/>
    <mergeCell ref="J15:K15"/>
    <mergeCell ref="H112:H118"/>
    <mergeCell ref="Q112:Q118"/>
    <mergeCell ref="H96:H102"/>
    <mergeCell ref="Q96:Q102"/>
    <mergeCell ref="O111:P111"/>
    <mergeCell ref="H80:H86"/>
    <mergeCell ref="Q80:Q86"/>
    <mergeCell ref="O95:P95"/>
    <mergeCell ref="H64:H70"/>
    <mergeCell ref="Q64:Q70"/>
    <mergeCell ref="O79:P79"/>
    <mergeCell ref="H48:H54"/>
    <mergeCell ref="Q48:Q54"/>
    <mergeCell ref="B111:C111"/>
    <mergeCell ref="D111:E111"/>
    <mergeCell ref="F111:G111"/>
    <mergeCell ref="K111:L111"/>
    <mergeCell ref="M111:N111"/>
    <mergeCell ref="B95:C95"/>
    <mergeCell ref="D95:E95"/>
    <mergeCell ref="F95:G95"/>
    <mergeCell ref="K95:L95"/>
    <mergeCell ref="M95:N95"/>
    <mergeCell ref="B79:C79"/>
    <mergeCell ref="D79:E79"/>
    <mergeCell ref="F79:G79"/>
    <mergeCell ref="K79:L79"/>
    <mergeCell ref="M79:N79"/>
    <mergeCell ref="B47:C47"/>
    <mergeCell ref="D47:E47"/>
    <mergeCell ref="F47:G47"/>
    <mergeCell ref="K47:L47"/>
    <mergeCell ref="M47:N47"/>
    <mergeCell ref="B63:C63"/>
    <mergeCell ref="D63:E63"/>
    <mergeCell ref="F63:G63"/>
    <mergeCell ref="K63:L63"/>
    <mergeCell ref="M63:N63"/>
    <mergeCell ref="O63:P63"/>
    <mergeCell ref="Q32:Q38"/>
    <mergeCell ref="K31:L31"/>
    <mergeCell ref="M31:N31"/>
    <mergeCell ref="O31:P31"/>
    <mergeCell ref="O47:P47"/>
    <mergeCell ref="A1:G1"/>
    <mergeCell ref="B31:C31"/>
    <mergeCell ref="D31:E31"/>
    <mergeCell ref="F31:G31"/>
    <mergeCell ref="H32:H38"/>
    <mergeCell ref="O127:P127"/>
    <mergeCell ref="H128:H134"/>
    <mergeCell ref="Q128:Q134"/>
    <mergeCell ref="B127:C127"/>
    <mergeCell ref="D127:E127"/>
    <mergeCell ref="F127:G127"/>
    <mergeCell ref="K127:L127"/>
    <mergeCell ref="M127:N127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44"/>
  <sheetViews>
    <sheetView zoomScale="80" zoomScaleNormal="80" workbookViewId="0">
      <selection activeCell="V25" sqref="V25"/>
    </sheetView>
  </sheetViews>
  <sheetFormatPr defaultRowHeight="14.5" x14ac:dyDescent="0.35"/>
  <cols>
    <col min="1" max="1" width="4.81640625" style="199" customWidth="1"/>
    <col min="2" max="2" width="15.54296875" style="199" customWidth="1"/>
    <col min="3" max="3" width="9.1796875" style="199"/>
    <col min="5" max="5" width="7.7265625" customWidth="1"/>
    <col min="21" max="21" width="10.1796875" bestFit="1" customWidth="1"/>
  </cols>
  <sheetData>
    <row r="1" spans="1:23" x14ac:dyDescent="0.35">
      <c r="A1" s="612" t="s">
        <v>202</v>
      </c>
      <c r="B1" s="612"/>
      <c r="C1" s="612"/>
      <c r="D1" s="612"/>
      <c r="E1" s="612"/>
      <c r="F1" s="612"/>
    </row>
    <row r="2" spans="1:23" x14ac:dyDescent="0.35">
      <c r="A2" s="614" t="s">
        <v>203</v>
      </c>
      <c r="B2" s="614"/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207"/>
      <c r="P2" s="207"/>
      <c r="Q2" s="207"/>
      <c r="S2" s="1" t="s">
        <v>206</v>
      </c>
      <c r="T2" s="216"/>
      <c r="U2" s="1" t="s">
        <v>207</v>
      </c>
      <c r="V2" s="1"/>
      <c r="W2" s="1"/>
    </row>
    <row r="3" spans="1:23" x14ac:dyDescent="0.35">
      <c r="A3" s="615" t="s">
        <v>37</v>
      </c>
      <c r="B3" s="615" t="s">
        <v>193</v>
      </c>
      <c r="C3" s="615" t="s">
        <v>204</v>
      </c>
      <c r="D3" s="615" t="s">
        <v>215</v>
      </c>
      <c r="E3" s="615"/>
      <c r="F3" s="615"/>
      <c r="G3" s="615"/>
      <c r="H3" s="615"/>
      <c r="I3" s="615"/>
      <c r="J3" s="615" t="s">
        <v>216</v>
      </c>
      <c r="K3" s="615"/>
      <c r="L3" s="615"/>
      <c r="M3" s="615"/>
      <c r="N3" s="615"/>
      <c r="O3" s="615"/>
      <c r="P3" s="192">
        <v>2022</v>
      </c>
      <c r="Q3" s="192">
        <v>2023</v>
      </c>
    </row>
    <row r="4" spans="1:23" x14ac:dyDescent="0.35">
      <c r="A4" s="615"/>
      <c r="B4" s="615"/>
      <c r="C4" s="615"/>
      <c r="D4" s="205" t="s">
        <v>119</v>
      </c>
      <c r="E4" s="205" t="s">
        <v>120</v>
      </c>
      <c r="F4" s="205" t="s">
        <v>121</v>
      </c>
      <c r="G4" s="205" t="s">
        <v>122</v>
      </c>
      <c r="H4" s="205" t="s">
        <v>123</v>
      </c>
      <c r="I4" s="205" t="s">
        <v>183</v>
      </c>
      <c r="J4" s="205" t="s">
        <v>119</v>
      </c>
      <c r="K4" s="205" t="s">
        <v>120</v>
      </c>
      <c r="L4" s="205" t="s">
        <v>121</v>
      </c>
      <c r="M4" s="205" t="s">
        <v>122</v>
      </c>
      <c r="N4" s="205" t="s">
        <v>123</v>
      </c>
      <c r="O4" s="205" t="s">
        <v>183</v>
      </c>
      <c r="P4" s="615" t="s">
        <v>208</v>
      </c>
      <c r="Q4" s="615"/>
    </row>
    <row r="5" spans="1:23" x14ac:dyDescent="0.35">
      <c r="A5" s="613">
        <v>1</v>
      </c>
      <c r="B5" s="613">
        <v>43580040</v>
      </c>
      <c r="C5" s="204">
        <v>32</v>
      </c>
      <c r="D5" s="34">
        <v>-0.12</v>
      </c>
      <c r="E5" s="34">
        <v>-0.04</v>
      </c>
      <c r="F5" s="34">
        <v>-0.17</v>
      </c>
      <c r="G5" s="34">
        <v>-0.2</v>
      </c>
      <c r="H5" s="34">
        <v>-0.31</v>
      </c>
      <c r="I5" s="34">
        <v>-0.5</v>
      </c>
      <c r="J5" s="213">
        <v>-0.12</v>
      </c>
      <c r="K5" s="213">
        <v>-0.04</v>
      </c>
      <c r="L5" s="213">
        <v>-0.17</v>
      </c>
      <c r="M5" s="213">
        <v>-0.2</v>
      </c>
      <c r="N5" s="213">
        <v>-0.31</v>
      </c>
      <c r="O5" s="213">
        <v>-0.5</v>
      </c>
      <c r="P5" s="34"/>
      <c r="Q5" s="34"/>
    </row>
    <row r="6" spans="1:23" x14ac:dyDescent="0.35">
      <c r="A6" s="613"/>
      <c r="B6" s="613"/>
      <c r="C6" s="204">
        <v>36</v>
      </c>
      <c r="D6" s="34">
        <v>-0.09</v>
      </c>
      <c r="E6" s="34">
        <v>-0.04</v>
      </c>
      <c r="F6" s="34">
        <v>-0.13</v>
      </c>
      <c r="G6" s="34">
        <v>-0.23</v>
      </c>
      <c r="H6" s="34">
        <v>-0.38</v>
      </c>
      <c r="I6" s="34">
        <v>-0.5</v>
      </c>
      <c r="J6" s="213">
        <v>-0.09</v>
      </c>
      <c r="K6" s="213">
        <v>-0.04</v>
      </c>
      <c r="L6" s="213">
        <v>-0.13</v>
      </c>
      <c r="M6" s="213">
        <v>-0.23</v>
      </c>
      <c r="N6" s="213">
        <v>-0.38</v>
      </c>
      <c r="O6" s="213">
        <v>-0.5</v>
      </c>
      <c r="P6" s="34">
        <v>-0.06</v>
      </c>
      <c r="Q6" s="213">
        <v>-0.06</v>
      </c>
    </row>
    <row r="7" spans="1:23" x14ac:dyDescent="0.35">
      <c r="A7" s="613">
        <v>2</v>
      </c>
      <c r="B7" s="613">
        <v>36440019</v>
      </c>
      <c r="C7" s="204">
        <v>32</v>
      </c>
      <c r="D7" s="34">
        <v>-0.01</v>
      </c>
      <c r="E7" s="34">
        <v>-0.22</v>
      </c>
      <c r="F7" s="34">
        <v>-0.13</v>
      </c>
      <c r="G7" s="34">
        <v>-0.48</v>
      </c>
      <c r="H7" s="34">
        <v>-0.16</v>
      </c>
      <c r="I7" s="34">
        <v>0</v>
      </c>
      <c r="J7" s="213">
        <v>-0.01</v>
      </c>
      <c r="K7" s="213">
        <v>-0.22</v>
      </c>
      <c r="L7" s="213">
        <v>-0.13</v>
      </c>
      <c r="M7" s="213">
        <v>-0.48</v>
      </c>
      <c r="N7" s="213">
        <v>-0.16</v>
      </c>
      <c r="O7" s="213">
        <v>0</v>
      </c>
      <c r="P7" s="34"/>
      <c r="Q7" s="34"/>
    </row>
    <row r="8" spans="1:23" x14ac:dyDescent="0.35">
      <c r="A8" s="613"/>
      <c r="B8" s="613"/>
      <c r="C8" s="204">
        <v>36</v>
      </c>
      <c r="D8" s="34">
        <v>0.01</v>
      </c>
      <c r="E8" s="34">
        <v>-0.35</v>
      </c>
      <c r="F8" s="34">
        <v>-0.14000000000000001</v>
      </c>
      <c r="G8" s="34">
        <v>-0.71</v>
      </c>
      <c r="H8" s="34">
        <v>-0.14000000000000001</v>
      </c>
      <c r="I8" s="34">
        <v>0</v>
      </c>
      <c r="J8" s="213">
        <v>0.01</v>
      </c>
      <c r="K8" s="213">
        <v>-0.35</v>
      </c>
      <c r="L8" s="213">
        <v>-0.14000000000000001</v>
      </c>
      <c r="M8" s="213">
        <v>-0.71</v>
      </c>
      <c r="N8" s="213">
        <v>-0.14000000000000001</v>
      </c>
      <c r="O8" s="213">
        <v>0</v>
      </c>
      <c r="P8" s="34">
        <v>-0.02</v>
      </c>
      <c r="Q8" s="213">
        <v>-0.02</v>
      </c>
    </row>
    <row r="9" spans="1:23" x14ac:dyDescent="0.35">
      <c r="A9" s="613">
        <v>3</v>
      </c>
      <c r="B9" s="613">
        <v>36440008</v>
      </c>
      <c r="C9" s="204">
        <v>32</v>
      </c>
      <c r="D9" s="5">
        <v>0.06</v>
      </c>
      <c r="E9" s="5">
        <v>-0.08</v>
      </c>
      <c r="F9" s="5">
        <v>0.28000000000000003</v>
      </c>
      <c r="G9" s="210">
        <v>0.05</v>
      </c>
      <c r="H9" s="5">
        <v>0.1</v>
      </c>
      <c r="I9" s="5">
        <v>-0.06</v>
      </c>
      <c r="J9" s="5">
        <v>-0.23</v>
      </c>
      <c r="K9" s="5">
        <v>-0.49</v>
      </c>
      <c r="L9" s="5">
        <v>-0.54</v>
      </c>
      <c r="M9" s="210">
        <v>-0.41</v>
      </c>
      <c r="N9" s="5">
        <v>-0.47</v>
      </c>
      <c r="O9" s="5">
        <v>-1.71</v>
      </c>
      <c r="P9" s="34"/>
      <c r="Q9" s="34"/>
    </row>
    <row r="10" spans="1:23" x14ac:dyDescent="0.35">
      <c r="A10" s="613"/>
      <c r="B10" s="613"/>
      <c r="C10" s="204">
        <v>36</v>
      </c>
      <c r="D10" s="5">
        <v>-0.1</v>
      </c>
      <c r="E10" s="5">
        <v>-0.28000000000000003</v>
      </c>
      <c r="F10" s="5">
        <v>0.31</v>
      </c>
      <c r="G10" s="210">
        <v>-0.13</v>
      </c>
      <c r="H10" s="5">
        <v>0</v>
      </c>
      <c r="I10" s="5">
        <v>-0.15</v>
      </c>
      <c r="J10" s="5">
        <v>-0.04</v>
      </c>
      <c r="K10" s="5">
        <v>-7.0000000000000007E-2</v>
      </c>
      <c r="L10" s="5">
        <v>-0.2</v>
      </c>
      <c r="M10" s="210">
        <v>-0.01</v>
      </c>
      <c r="N10" s="5">
        <v>-0.01</v>
      </c>
      <c r="O10" s="5">
        <v>-1.5</v>
      </c>
      <c r="P10" s="34">
        <v>0</v>
      </c>
      <c r="Q10" s="34">
        <v>-0.08</v>
      </c>
    </row>
    <row r="11" spans="1:23" x14ac:dyDescent="0.35">
      <c r="A11" s="613">
        <v>4</v>
      </c>
      <c r="B11" s="613">
        <v>38350016</v>
      </c>
      <c r="C11" s="204">
        <v>32</v>
      </c>
      <c r="D11" s="212">
        <v>-0.16</v>
      </c>
      <c r="E11" s="212">
        <v>-0.16</v>
      </c>
      <c r="F11" s="212">
        <v>-0.19</v>
      </c>
      <c r="G11" s="212">
        <v>-0.03</v>
      </c>
      <c r="H11" s="212">
        <v>7.0000000000000007E-2</v>
      </c>
      <c r="I11" s="212">
        <v>0</v>
      </c>
      <c r="J11" s="5">
        <v>-0.16</v>
      </c>
      <c r="K11" s="5">
        <v>-0.16</v>
      </c>
      <c r="L11" s="5">
        <v>-0.19</v>
      </c>
      <c r="M11" s="5">
        <v>-0.03</v>
      </c>
      <c r="N11" s="5">
        <v>7.0000000000000007E-2</v>
      </c>
      <c r="O11" s="5">
        <v>0</v>
      </c>
      <c r="P11" s="34"/>
      <c r="Q11" s="34"/>
    </row>
    <row r="12" spans="1:23" x14ac:dyDescent="0.35">
      <c r="A12" s="613"/>
      <c r="B12" s="613"/>
      <c r="C12" s="204">
        <v>36</v>
      </c>
      <c r="D12" s="212">
        <v>-7.0000000000000007E-2</v>
      </c>
      <c r="E12" s="212">
        <v>-0.08</v>
      </c>
      <c r="F12" s="212">
        <v>-0.11</v>
      </c>
      <c r="G12" s="212">
        <v>-0.06</v>
      </c>
      <c r="H12" s="212">
        <v>0.05</v>
      </c>
      <c r="I12" s="212">
        <v>0</v>
      </c>
      <c r="J12" s="5">
        <v>-7.0000000000000007E-2</v>
      </c>
      <c r="K12" s="5">
        <v>-0.08</v>
      </c>
      <c r="L12" s="5">
        <v>-0.11</v>
      </c>
      <c r="M12" s="5">
        <v>-0.06</v>
      </c>
      <c r="N12" s="5">
        <v>0.05</v>
      </c>
      <c r="O12" s="5">
        <v>0</v>
      </c>
      <c r="P12" s="213">
        <v>0.09</v>
      </c>
      <c r="Q12" s="5">
        <v>0.09</v>
      </c>
    </row>
    <row r="13" spans="1:23" x14ac:dyDescent="0.35">
      <c r="A13" s="613">
        <v>5</v>
      </c>
      <c r="B13" s="613">
        <v>43160038</v>
      </c>
      <c r="C13" s="204">
        <v>32</v>
      </c>
      <c r="D13" s="5">
        <v>0.11</v>
      </c>
      <c r="E13" s="5">
        <v>0.13</v>
      </c>
      <c r="F13" s="5">
        <v>-0.03</v>
      </c>
      <c r="G13" s="5">
        <v>-0.06</v>
      </c>
      <c r="H13" s="5">
        <v>-0.03</v>
      </c>
      <c r="I13" s="5">
        <v>0</v>
      </c>
      <c r="J13" s="212">
        <v>0.11</v>
      </c>
      <c r="K13" s="212">
        <v>0.13</v>
      </c>
      <c r="L13" s="212">
        <v>-0.03</v>
      </c>
      <c r="M13" s="212">
        <v>-0.06</v>
      </c>
      <c r="N13" s="212">
        <v>-0.03</v>
      </c>
      <c r="O13" s="212">
        <v>0</v>
      </c>
      <c r="P13" s="34"/>
      <c r="Q13" s="34"/>
    </row>
    <row r="14" spans="1:23" x14ac:dyDescent="0.35">
      <c r="A14" s="613"/>
      <c r="B14" s="613"/>
      <c r="C14" s="204">
        <v>36</v>
      </c>
      <c r="D14" s="5">
        <v>0.08</v>
      </c>
      <c r="E14" s="5">
        <v>0.15</v>
      </c>
      <c r="F14" s="5">
        <v>-0.09</v>
      </c>
      <c r="G14" s="5">
        <v>-0.04</v>
      </c>
      <c r="H14" s="5">
        <v>-0.03</v>
      </c>
      <c r="I14" s="5">
        <v>0</v>
      </c>
      <c r="J14" s="212">
        <v>0.08</v>
      </c>
      <c r="K14" s="212">
        <v>0.15</v>
      </c>
      <c r="L14" s="212">
        <v>-0.09</v>
      </c>
      <c r="M14" s="212">
        <v>-0.04</v>
      </c>
      <c r="N14" s="212">
        <v>-0.03</v>
      </c>
      <c r="O14" s="212">
        <v>0</v>
      </c>
      <c r="P14" s="213">
        <v>0</v>
      </c>
      <c r="Q14" s="213">
        <v>0</v>
      </c>
    </row>
    <row r="15" spans="1:23" x14ac:dyDescent="0.35">
      <c r="A15" s="613">
        <v>6</v>
      </c>
      <c r="B15" s="613">
        <v>43580041</v>
      </c>
      <c r="C15" s="204">
        <v>32</v>
      </c>
      <c r="D15" s="5">
        <v>-0.7</v>
      </c>
      <c r="E15" s="5">
        <v>-0.86</v>
      </c>
      <c r="F15" s="5">
        <v>-0.78</v>
      </c>
      <c r="G15" s="5">
        <v>-0.17</v>
      </c>
      <c r="H15" s="5">
        <v>-1.02</v>
      </c>
      <c r="I15" s="5">
        <v>-0.39</v>
      </c>
      <c r="J15" s="212">
        <v>-0.7</v>
      </c>
      <c r="K15" s="212">
        <v>-0.86</v>
      </c>
      <c r="L15" s="212">
        <v>-0.78</v>
      </c>
      <c r="M15" s="212">
        <v>-0.17</v>
      </c>
      <c r="N15" s="212">
        <v>-1.02</v>
      </c>
      <c r="O15" s="212">
        <v>-0.39</v>
      </c>
      <c r="P15" s="34"/>
      <c r="Q15" s="34"/>
    </row>
    <row r="16" spans="1:23" x14ac:dyDescent="0.35">
      <c r="A16" s="613"/>
      <c r="B16" s="613"/>
      <c r="C16" s="204">
        <v>36</v>
      </c>
      <c r="D16" s="5">
        <v>-0.71</v>
      </c>
      <c r="E16" s="5">
        <v>-1.1000000000000001</v>
      </c>
      <c r="F16" s="5">
        <v>-1.03</v>
      </c>
      <c r="G16" s="5">
        <v>-0.19</v>
      </c>
      <c r="H16" s="5">
        <v>-1.32</v>
      </c>
      <c r="I16" s="5">
        <v>-0.34</v>
      </c>
      <c r="J16" s="212">
        <v>-0.71</v>
      </c>
      <c r="K16" s="212">
        <v>-1.1000000000000001</v>
      </c>
      <c r="L16" s="212">
        <v>-1.03</v>
      </c>
      <c r="M16" s="212">
        <v>-0.19</v>
      </c>
      <c r="N16" s="212">
        <v>-1.32</v>
      </c>
      <c r="O16" s="212">
        <v>-0.34</v>
      </c>
      <c r="P16" s="213">
        <v>0</v>
      </c>
      <c r="Q16" s="213">
        <v>0</v>
      </c>
    </row>
    <row r="17" spans="1:17" x14ac:dyDescent="0.35">
      <c r="A17" s="613">
        <v>7</v>
      </c>
      <c r="B17" s="613">
        <v>43580047</v>
      </c>
      <c r="C17" s="204">
        <v>32</v>
      </c>
      <c r="D17" s="5">
        <v>-0.49</v>
      </c>
      <c r="E17" s="5">
        <v>-0.57999999999999996</v>
      </c>
      <c r="F17" s="5">
        <v>-0.22</v>
      </c>
      <c r="G17" s="5">
        <v>-0.88</v>
      </c>
      <c r="H17" s="5">
        <v>-0.48</v>
      </c>
      <c r="I17" s="5">
        <v>-0.51</v>
      </c>
      <c r="J17" s="5">
        <v>-0.09</v>
      </c>
      <c r="K17" s="5">
        <v>-0.17</v>
      </c>
      <c r="L17" s="5">
        <v>-0.04</v>
      </c>
      <c r="M17" s="5">
        <v>-0.2</v>
      </c>
      <c r="N17" s="5">
        <v>0</v>
      </c>
      <c r="O17" s="5">
        <v>-0.32</v>
      </c>
      <c r="P17" s="34"/>
      <c r="Q17" s="34"/>
    </row>
    <row r="18" spans="1:17" x14ac:dyDescent="0.35">
      <c r="A18" s="613"/>
      <c r="B18" s="613"/>
      <c r="C18" s="204">
        <v>36</v>
      </c>
      <c r="D18" s="5">
        <v>-0.76</v>
      </c>
      <c r="E18" s="5">
        <v>-0.87</v>
      </c>
      <c r="F18" s="5">
        <v>-0.31</v>
      </c>
      <c r="G18" s="5">
        <v>-1.35</v>
      </c>
      <c r="H18" s="5">
        <v>-0.94</v>
      </c>
      <c r="I18" s="5">
        <v>-0.95</v>
      </c>
      <c r="J18" s="5">
        <v>-7.0000000000000007E-2</v>
      </c>
      <c r="K18" s="5">
        <v>-0.15</v>
      </c>
      <c r="L18" s="5">
        <v>0</v>
      </c>
      <c r="M18" s="5">
        <v>-0.19</v>
      </c>
      <c r="N18" s="5">
        <v>0.03</v>
      </c>
      <c r="O18" s="5">
        <v>-0.42</v>
      </c>
      <c r="P18" s="34">
        <v>0.08</v>
      </c>
      <c r="Q18" s="5">
        <v>-0.14000000000000001</v>
      </c>
    </row>
    <row r="19" spans="1:17" x14ac:dyDescent="0.35">
      <c r="A19" s="613">
        <v>8</v>
      </c>
      <c r="B19" s="613">
        <v>38350009</v>
      </c>
      <c r="C19" s="204">
        <v>32</v>
      </c>
      <c r="D19" s="34">
        <v>-0.19</v>
      </c>
      <c r="E19" s="34">
        <v>-0.12</v>
      </c>
      <c r="F19" s="34">
        <v>0.1</v>
      </c>
      <c r="G19" s="34">
        <v>-0.17</v>
      </c>
      <c r="H19" s="34">
        <v>-0.13</v>
      </c>
      <c r="I19" s="34">
        <v>-0.3</v>
      </c>
      <c r="J19" s="34">
        <v>-0.24</v>
      </c>
      <c r="K19" s="34">
        <v>-0.3</v>
      </c>
      <c r="L19" s="34">
        <v>-0.09</v>
      </c>
      <c r="M19" s="34">
        <v>-0.19</v>
      </c>
      <c r="N19" s="34">
        <v>-0.21</v>
      </c>
      <c r="O19" s="34">
        <v>-0.7</v>
      </c>
      <c r="P19" s="34"/>
      <c r="Q19" s="34"/>
    </row>
    <row r="20" spans="1:17" x14ac:dyDescent="0.35">
      <c r="A20" s="613"/>
      <c r="B20" s="613"/>
      <c r="C20" s="204">
        <v>36</v>
      </c>
      <c r="D20" s="5">
        <v>-0.13</v>
      </c>
      <c r="E20" s="5">
        <v>-0.13</v>
      </c>
      <c r="F20" s="5">
        <v>0.3</v>
      </c>
      <c r="G20" s="5">
        <v>-0.18</v>
      </c>
      <c r="H20" s="5">
        <v>-0.04</v>
      </c>
      <c r="I20" s="5">
        <v>-0.3</v>
      </c>
      <c r="J20" s="5">
        <v>-0.11</v>
      </c>
      <c r="K20" s="5">
        <v>-0.11</v>
      </c>
      <c r="L20" s="5">
        <v>0.02</v>
      </c>
      <c r="M20" s="5">
        <v>-0.04</v>
      </c>
      <c r="N20" s="5">
        <v>0.08</v>
      </c>
      <c r="O20" s="5">
        <v>-0.4</v>
      </c>
      <c r="P20" s="34">
        <v>-0.04</v>
      </c>
      <c r="Q20" s="5">
        <v>0.12</v>
      </c>
    </row>
    <row r="21" spans="1:17" x14ac:dyDescent="0.35">
      <c r="A21" s="613">
        <v>9</v>
      </c>
      <c r="B21" s="613">
        <v>43580039</v>
      </c>
      <c r="C21" s="204">
        <v>32</v>
      </c>
      <c r="D21" s="5">
        <v>-7.0000000000000007E-2</v>
      </c>
      <c r="E21" s="5">
        <v>-0.12</v>
      </c>
      <c r="F21" s="5">
        <v>-0.16</v>
      </c>
      <c r="G21" s="5">
        <v>-0.22</v>
      </c>
      <c r="H21" s="5">
        <v>-0.28999999999999998</v>
      </c>
      <c r="I21" s="5">
        <v>-0.3</v>
      </c>
      <c r="J21" s="212">
        <v>-7.0000000000000007E-2</v>
      </c>
      <c r="K21" s="212">
        <v>-0.12</v>
      </c>
      <c r="L21" s="212">
        <v>-0.16</v>
      </c>
      <c r="M21" s="212">
        <v>-0.22</v>
      </c>
      <c r="N21" s="212">
        <v>-0.28999999999999998</v>
      </c>
      <c r="O21" s="212">
        <v>-0.3</v>
      </c>
      <c r="P21" s="213"/>
      <c r="Q21" s="5"/>
    </row>
    <row r="22" spans="1:17" x14ac:dyDescent="0.35">
      <c r="A22" s="613"/>
      <c r="B22" s="613"/>
      <c r="C22" s="204">
        <v>36</v>
      </c>
      <c r="D22" s="5">
        <v>-7.0000000000000007E-2</v>
      </c>
      <c r="E22" s="5">
        <v>-7.0000000000000007E-2</v>
      </c>
      <c r="F22" s="5">
        <v>-0.18</v>
      </c>
      <c r="G22" s="5">
        <v>-0.24</v>
      </c>
      <c r="H22" s="5">
        <v>-0.24</v>
      </c>
      <c r="I22" s="5">
        <v>-0.3</v>
      </c>
      <c r="J22" s="212">
        <v>-7.0000000000000007E-2</v>
      </c>
      <c r="K22" s="212">
        <v>-7.0000000000000007E-2</v>
      </c>
      <c r="L22" s="212">
        <v>-0.18</v>
      </c>
      <c r="M22" s="212">
        <v>-0.24</v>
      </c>
      <c r="N22" s="212">
        <v>-0.24</v>
      </c>
      <c r="O22" s="212">
        <v>-0.3</v>
      </c>
      <c r="P22" s="213">
        <v>0</v>
      </c>
      <c r="Q22" s="5">
        <v>0</v>
      </c>
    </row>
    <row r="23" spans="1:17" x14ac:dyDescent="0.35">
      <c r="A23" s="621">
        <v>10</v>
      </c>
      <c r="B23" s="621">
        <v>36440025</v>
      </c>
      <c r="C23" s="204">
        <v>32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</row>
    <row r="24" spans="1:17" x14ac:dyDescent="0.35">
      <c r="A24" s="621"/>
      <c r="B24" s="621"/>
      <c r="C24" s="204">
        <v>36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</row>
    <row r="25" spans="1:17" x14ac:dyDescent="0.35">
      <c r="A25" s="621">
        <v>11</v>
      </c>
      <c r="B25" s="621">
        <v>38350014</v>
      </c>
      <c r="C25" s="204">
        <v>32</v>
      </c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</row>
    <row r="26" spans="1:17" x14ac:dyDescent="0.35">
      <c r="A26" s="621"/>
      <c r="B26" s="621"/>
      <c r="C26" s="204">
        <v>36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8" spans="1:17" x14ac:dyDescent="0.35">
      <c r="A28" s="617" t="s">
        <v>37</v>
      </c>
      <c r="B28" s="617" t="s">
        <v>193</v>
      </c>
      <c r="C28" s="617">
        <v>32</v>
      </c>
      <c r="D28" s="617"/>
      <c r="E28" s="617"/>
      <c r="F28" s="617"/>
      <c r="G28" s="617"/>
      <c r="H28" s="617"/>
      <c r="I28" s="620">
        <v>36</v>
      </c>
      <c r="J28" s="620"/>
      <c r="K28" s="620"/>
      <c r="L28" s="620"/>
      <c r="M28" s="620"/>
      <c r="N28" s="620"/>
      <c r="O28" s="618" t="s">
        <v>209</v>
      </c>
      <c r="P28" s="619"/>
    </row>
    <row r="29" spans="1:17" s="16" customFormat="1" x14ac:dyDescent="0.35">
      <c r="A29" s="617"/>
      <c r="B29" s="617"/>
      <c r="C29" s="214" t="s">
        <v>119</v>
      </c>
      <c r="D29" s="215" t="s">
        <v>120</v>
      </c>
      <c r="E29" s="215" t="s">
        <v>121</v>
      </c>
      <c r="F29" s="215" t="s">
        <v>122</v>
      </c>
      <c r="G29" s="215" t="s">
        <v>123</v>
      </c>
      <c r="H29" s="215" t="s">
        <v>183</v>
      </c>
      <c r="I29" s="214" t="s">
        <v>119</v>
      </c>
      <c r="J29" s="215" t="s">
        <v>120</v>
      </c>
      <c r="K29" s="215" t="s">
        <v>121</v>
      </c>
      <c r="L29" s="215" t="s">
        <v>122</v>
      </c>
      <c r="M29" s="215" t="s">
        <v>123</v>
      </c>
      <c r="N29" s="215" t="s">
        <v>183</v>
      </c>
      <c r="O29" s="618"/>
      <c r="P29" s="619"/>
    </row>
    <row r="30" spans="1:17" x14ac:dyDescent="0.35">
      <c r="A30" s="206">
        <v>1</v>
      </c>
      <c r="B30" s="206">
        <v>43580040</v>
      </c>
      <c r="C30" s="210">
        <f>J5-D5</f>
        <v>0</v>
      </c>
      <c r="D30" s="5">
        <f t="shared" ref="D30:H30" si="0">K5-E5</f>
        <v>0</v>
      </c>
      <c r="E30" s="5">
        <f t="shared" si="0"/>
        <v>0</v>
      </c>
      <c r="F30" s="5">
        <f t="shared" si="0"/>
        <v>0</v>
      </c>
      <c r="G30" s="5">
        <f t="shared" si="0"/>
        <v>0</v>
      </c>
      <c r="H30" s="5">
        <f t="shared" si="0"/>
        <v>0</v>
      </c>
      <c r="I30" s="5">
        <f t="shared" ref="I30:N30" si="1">J6-D6</f>
        <v>0</v>
      </c>
      <c r="J30" s="5">
        <f t="shared" si="1"/>
        <v>0</v>
      </c>
      <c r="K30" s="5">
        <f t="shared" si="1"/>
        <v>0</v>
      </c>
      <c r="L30" s="5">
        <f t="shared" si="1"/>
        <v>0</v>
      </c>
      <c r="M30" s="5">
        <f t="shared" si="1"/>
        <v>0</v>
      </c>
      <c r="N30" s="5">
        <f t="shared" si="1"/>
        <v>0</v>
      </c>
      <c r="O30" s="5">
        <f>Q6-P6</f>
        <v>0</v>
      </c>
    </row>
    <row r="31" spans="1:17" x14ac:dyDescent="0.35">
      <c r="A31" s="206">
        <v>2</v>
      </c>
      <c r="B31" s="206">
        <v>36440019</v>
      </c>
      <c r="C31" s="210">
        <f>J7-D7</f>
        <v>0</v>
      </c>
      <c r="D31" s="5">
        <f>K7-E7</f>
        <v>0</v>
      </c>
      <c r="E31" s="5">
        <f>L7-F7</f>
        <v>0</v>
      </c>
      <c r="F31" s="5">
        <f>M7-G7</f>
        <v>0</v>
      </c>
      <c r="G31" s="5">
        <f>N7-H7</f>
        <v>0</v>
      </c>
      <c r="H31" s="5">
        <v>0</v>
      </c>
      <c r="I31" s="5">
        <f>J8-D8</f>
        <v>0</v>
      </c>
      <c r="J31" s="5">
        <f>K8-E8</f>
        <v>0</v>
      </c>
      <c r="K31" s="5">
        <f>L8-F8</f>
        <v>0</v>
      </c>
      <c r="L31" s="5">
        <f>M8-G8</f>
        <v>0</v>
      </c>
      <c r="M31" s="5">
        <f>N8-H8</f>
        <v>0</v>
      </c>
      <c r="N31" s="5">
        <v>0</v>
      </c>
      <c r="O31" s="5">
        <f>Q8-P8</f>
        <v>0</v>
      </c>
    </row>
    <row r="32" spans="1:17" x14ac:dyDescent="0.35">
      <c r="A32" s="206">
        <v>3</v>
      </c>
      <c r="B32" s="206">
        <v>36440008</v>
      </c>
      <c r="C32" s="210">
        <f t="shared" ref="C32:H32" si="2">J9-D9</f>
        <v>-0.29000000000000004</v>
      </c>
      <c r="D32" s="5">
        <f t="shared" si="2"/>
        <v>-0.41</v>
      </c>
      <c r="E32" s="5">
        <f t="shared" si="2"/>
        <v>-0.82000000000000006</v>
      </c>
      <c r="F32" s="5">
        <f t="shared" si="2"/>
        <v>-0.45999999999999996</v>
      </c>
      <c r="G32" s="5">
        <f t="shared" si="2"/>
        <v>-0.56999999999999995</v>
      </c>
      <c r="H32" s="5">
        <f t="shared" si="2"/>
        <v>-1.65</v>
      </c>
      <c r="I32" s="5">
        <f t="shared" ref="I32:N32" si="3">J10-D10</f>
        <v>6.0000000000000005E-2</v>
      </c>
      <c r="J32" s="5">
        <f t="shared" si="3"/>
        <v>0.21000000000000002</v>
      </c>
      <c r="K32" s="5">
        <f t="shared" si="3"/>
        <v>-0.51</v>
      </c>
      <c r="L32" s="5">
        <f t="shared" si="3"/>
        <v>0.12000000000000001</v>
      </c>
      <c r="M32" s="5">
        <f t="shared" si="3"/>
        <v>-0.01</v>
      </c>
      <c r="N32" s="5">
        <f t="shared" si="3"/>
        <v>-1.35</v>
      </c>
      <c r="O32" s="5">
        <f>Q10-P10</f>
        <v>-0.08</v>
      </c>
    </row>
    <row r="33" spans="1:15" x14ac:dyDescent="0.35">
      <c r="A33" s="206">
        <v>4</v>
      </c>
      <c r="B33" s="206">
        <v>38350016</v>
      </c>
      <c r="C33" s="210">
        <f t="shared" ref="C33:H33" si="4">J11-D11</f>
        <v>0</v>
      </c>
      <c r="D33" s="5">
        <f t="shared" si="4"/>
        <v>0</v>
      </c>
      <c r="E33" s="5">
        <f t="shared" si="4"/>
        <v>0</v>
      </c>
      <c r="F33" s="5">
        <f t="shared" si="4"/>
        <v>0</v>
      </c>
      <c r="G33" s="5">
        <f t="shared" si="4"/>
        <v>0</v>
      </c>
      <c r="H33" s="5">
        <f t="shared" si="4"/>
        <v>0</v>
      </c>
      <c r="I33" s="5">
        <f t="shared" ref="I33:M33" si="5">J12-D12</f>
        <v>0</v>
      </c>
      <c r="J33" s="5">
        <f t="shared" si="5"/>
        <v>0</v>
      </c>
      <c r="K33" s="5">
        <f t="shared" si="5"/>
        <v>0</v>
      </c>
      <c r="L33" s="5">
        <f t="shared" si="5"/>
        <v>0</v>
      </c>
      <c r="M33" s="5">
        <f t="shared" si="5"/>
        <v>0</v>
      </c>
      <c r="N33" s="5">
        <f>O12-I12</f>
        <v>0</v>
      </c>
      <c r="O33" s="5">
        <f>Q12-P12</f>
        <v>0</v>
      </c>
    </row>
    <row r="34" spans="1:15" x14ac:dyDescent="0.35">
      <c r="A34" s="206">
        <v>5</v>
      </c>
      <c r="B34" s="206">
        <v>43160038</v>
      </c>
      <c r="C34" s="210">
        <f t="shared" ref="C34:H34" si="6">J13-D13</f>
        <v>0</v>
      </c>
      <c r="D34" s="5">
        <f t="shared" si="6"/>
        <v>0</v>
      </c>
      <c r="E34" s="5">
        <f t="shared" si="6"/>
        <v>0</v>
      </c>
      <c r="F34" s="5">
        <f t="shared" si="6"/>
        <v>0</v>
      </c>
      <c r="G34" s="5">
        <f t="shared" si="6"/>
        <v>0</v>
      </c>
      <c r="H34" s="5">
        <f t="shared" si="6"/>
        <v>0</v>
      </c>
      <c r="I34" s="5">
        <f t="shared" ref="I34:N34" si="7">J14-D14</f>
        <v>0</v>
      </c>
      <c r="J34" s="5">
        <f t="shared" si="7"/>
        <v>0</v>
      </c>
      <c r="K34" s="5">
        <f t="shared" si="7"/>
        <v>0</v>
      </c>
      <c r="L34" s="5">
        <f t="shared" si="7"/>
        <v>0</v>
      </c>
      <c r="M34" s="5">
        <f t="shared" si="7"/>
        <v>0</v>
      </c>
      <c r="N34" s="5">
        <f t="shared" si="7"/>
        <v>0</v>
      </c>
      <c r="O34" s="5">
        <f>Q14-P14</f>
        <v>0</v>
      </c>
    </row>
    <row r="35" spans="1:15" x14ac:dyDescent="0.35">
      <c r="A35" s="206">
        <v>6</v>
      </c>
      <c r="B35" s="206">
        <v>43580041</v>
      </c>
      <c r="C35" s="210">
        <f t="shared" ref="C35:H35" si="8">J15-D15</f>
        <v>0</v>
      </c>
      <c r="D35" s="5">
        <f t="shared" si="8"/>
        <v>0</v>
      </c>
      <c r="E35" s="5">
        <f t="shared" si="8"/>
        <v>0</v>
      </c>
      <c r="F35" s="5">
        <f t="shared" si="8"/>
        <v>0</v>
      </c>
      <c r="G35" s="5">
        <f t="shared" si="8"/>
        <v>0</v>
      </c>
      <c r="H35" s="5">
        <f t="shared" si="8"/>
        <v>0</v>
      </c>
      <c r="I35" s="5">
        <f t="shared" ref="I35:N35" si="9">J16-D16</f>
        <v>0</v>
      </c>
      <c r="J35" s="5">
        <f t="shared" si="9"/>
        <v>0</v>
      </c>
      <c r="K35" s="5">
        <f t="shared" si="9"/>
        <v>0</v>
      </c>
      <c r="L35" s="5">
        <f t="shared" si="9"/>
        <v>0</v>
      </c>
      <c r="M35" s="5">
        <f t="shared" si="9"/>
        <v>0</v>
      </c>
      <c r="N35" s="5">
        <f t="shared" si="9"/>
        <v>0</v>
      </c>
      <c r="O35" s="5">
        <f>Q16-P16</f>
        <v>0</v>
      </c>
    </row>
    <row r="36" spans="1:15" x14ac:dyDescent="0.35">
      <c r="A36" s="206">
        <v>7</v>
      </c>
      <c r="B36" s="206">
        <v>43580047</v>
      </c>
      <c r="C36" s="210">
        <f t="shared" ref="C36:H36" si="10">J17-D17</f>
        <v>0.4</v>
      </c>
      <c r="D36" s="5">
        <f t="shared" si="10"/>
        <v>0.40999999999999992</v>
      </c>
      <c r="E36" s="5">
        <f t="shared" si="10"/>
        <v>0.18</v>
      </c>
      <c r="F36" s="5">
        <f t="shared" si="10"/>
        <v>0.67999999999999994</v>
      </c>
      <c r="G36" s="5">
        <f t="shared" si="10"/>
        <v>0.48</v>
      </c>
      <c r="H36" s="5">
        <f t="shared" si="10"/>
        <v>0.19</v>
      </c>
      <c r="I36" s="5">
        <f t="shared" ref="I36:N36" si="11">J18-D18</f>
        <v>0.69</v>
      </c>
      <c r="J36" s="5">
        <f t="shared" si="11"/>
        <v>0.72</v>
      </c>
      <c r="K36" s="5">
        <f t="shared" si="11"/>
        <v>0.31</v>
      </c>
      <c r="L36" s="5">
        <f t="shared" si="11"/>
        <v>1.1600000000000001</v>
      </c>
      <c r="M36" s="5">
        <f t="shared" si="11"/>
        <v>0.97</v>
      </c>
      <c r="N36" s="5">
        <f t="shared" si="11"/>
        <v>0.53</v>
      </c>
      <c r="O36" s="5">
        <f>Q18-P18</f>
        <v>-0.22000000000000003</v>
      </c>
    </row>
    <row r="37" spans="1:15" x14ac:dyDescent="0.35">
      <c r="A37" s="206">
        <v>8</v>
      </c>
      <c r="B37" s="206">
        <v>38350009</v>
      </c>
      <c r="C37" s="210">
        <f>J19-D19</f>
        <v>-4.9999999999999989E-2</v>
      </c>
      <c r="D37" s="5">
        <f>K19-E19</f>
        <v>-0.18</v>
      </c>
      <c r="E37" s="5">
        <f>L19-F19</f>
        <v>-0.19</v>
      </c>
      <c r="F37" s="5">
        <f>M19-G19</f>
        <v>-1.999999999999999E-2</v>
      </c>
      <c r="G37" s="5">
        <f>N19-H19</f>
        <v>-7.9999999999999988E-2</v>
      </c>
      <c r="H37" s="5">
        <f>O20-I20</f>
        <v>-0.10000000000000003</v>
      </c>
      <c r="I37" s="5">
        <f t="shared" ref="I37:N37" si="12">J20-D20</f>
        <v>2.0000000000000004E-2</v>
      </c>
      <c r="J37" s="5">
        <f t="shared" si="12"/>
        <v>2.0000000000000004E-2</v>
      </c>
      <c r="K37" s="5">
        <f t="shared" si="12"/>
        <v>-0.27999999999999997</v>
      </c>
      <c r="L37" s="5">
        <f t="shared" si="12"/>
        <v>0.13999999999999999</v>
      </c>
      <c r="M37" s="5">
        <f t="shared" si="12"/>
        <v>0.12</v>
      </c>
      <c r="N37" s="5">
        <f t="shared" si="12"/>
        <v>-0.10000000000000003</v>
      </c>
      <c r="O37" s="5">
        <f>Q20-P20</f>
        <v>0.16</v>
      </c>
    </row>
    <row r="38" spans="1:15" x14ac:dyDescent="0.35">
      <c r="A38" s="206">
        <v>9</v>
      </c>
      <c r="B38" s="206">
        <v>43580039</v>
      </c>
      <c r="C38" s="210">
        <f>J21-D21</f>
        <v>0</v>
      </c>
      <c r="D38" s="5">
        <f>K21-E21</f>
        <v>0</v>
      </c>
      <c r="E38" s="5">
        <f>L21-F21</f>
        <v>0</v>
      </c>
      <c r="F38" s="5">
        <f>M21-G21</f>
        <v>0</v>
      </c>
      <c r="G38" s="5">
        <f>N21-H21</f>
        <v>0</v>
      </c>
      <c r="H38" s="5">
        <f>O21-I21</f>
        <v>0</v>
      </c>
      <c r="I38" s="5">
        <f t="shared" ref="I38:N38" si="13">J22-D22</f>
        <v>0</v>
      </c>
      <c r="J38" s="5">
        <f t="shared" si="13"/>
        <v>0</v>
      </c>
      <c r="K38" s="5">
        <f t="shared" si="13"/>
        <v>0</v>
      </c>
      <c r="L38" s="5">
        <f t="shared" si="13"/>
        <v>0</v>
      </c>
      <c r="M38" s="5">
        <f t="shared" si="13"/>
        <v>0</v>
      </c>
      <c r="N38" s="5">
        <f t="shared" si="13"/>
        <v>0</v>
      </c>
      <c r="O38" s="5">
        <f>Q22-P22</f>
        <v>0</v>
      </c>
    </row>
    <row r="39" spans="1:15" x14ac:dyDescent="0.35">
      <c r="A39" s="206"/>
      <c r="B39" s="206">
        <v>36440025</v>
      </c>
      <c r="C39" s="210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35">
      <c r="A40" s="206"/>
      <c r="B40" s="206">
        <v>38350014</v>
      </c>
      <c r="C40" s="210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35">
      <c r="A41" s="616">
        <f>'LK isi'!T23</f>
        <v>21110978</v>
      </c>
      <c r="B41" s="616"/>
      <c r="C41" s="214" t="e">
        <f>VLOOKUP($A$41,$B$30:$N$40,2,FALSE)</f>
        <v>#N/A</v>
      </c>
      <c r="D41" s="214" t="e">
        <f>VLOOKUP($A$41,$B$30:$N$40,3,FALSE)</f>
        <v>#N/A</v>
      </c>
      <c r="E41" s="214" t="e">
        <f>VLOOKUP($A$41,$B$30:$N$40,4,FALSE)</f>
        <v>#N/A</v>
      </c>
      <c r="F41" s="214" t="e">
        <f>VLOOKUP($A$41,$B$30:$N$40,5,FALSE)</f>
        <v>#N/A</v>
      </c>
      <c r="G41" s="214" t="e">
        <f>VLOOKUP($A$41,$B$30:$N$40,6,FALSE)</f>
        <v>#N/A</v>
      </c>
      <c r="H41" s="214" t="e">
        <f>VLOOKUP($A$41,$B$30:$N$40,7,FALSE)</f>
        <v>#N/A</v>
      </c>
      <c r="I41" s="214" t="e">
        <f>VLOOKUP($A$41,$B$30:$N$40,8,FALSE)</f>
        <v>#N/A</v>
      </c>
      <c r="J41" s="214" t="e">
        <f>VLOOKUP($A$41,$B$30:$N$40,9,FALSE)</f>
        <v>#N/A</v>
      </c>
      <c r="K41" s="214" t="e">
        <f>VLOOKUP($A$41,$B$30:$N$40,10,FALSE)</f>
        <v>#N/A</v>
      </c>
      <c r="L41" s="214" t="e">
        <f>VLOOKUP($A$41,$B$30:$N$40,11,FALSE)</f>
        <v>#N/A</v>
      </c>
      <c r="M41" s="214" t="e">
        <f>VLOOKUP($A$41,$B$30:$N$40,12,FALSE)</f>
        <v>#N/A</v>
      </c>
      <c r="N41" s="214" t="e">
        <f>VLOOKUP($A$41,$B$30:$N$40,13,FALSE)</f>
        <v>#N/A</v>
      </c>
      <c r="O41" s="194" t="e">
        <f>VLOOKUP(A41,B30:O37,14,FALSE)</f>
        <v>#N/A</v>
      </c>
    </row>
    <row r="43" spans="1:15" x14ac:dyDescent="0.35">
      <c r="A43" s="211"/>
      <c r="B43" s="217" t="s">
        <v>205</v>
      </c>
      <c r="C43" s="217"/>
      <c r="D43" s="64"/>
      <c r="E43" s="1"/>
      <c r="F43" s="1" t="s">
        <v>10</v>
      </c>
      <c r="G43" s="1">
        <f>10%*ktps!R2</f>
        <v>0</v>
      </c>
    </row>
    <row r="44" spans="1:15" x14ac:dyDescent="0.35">
      <c r="E44" s="1"/>
      <c r="G44" s="1"/>
    </row>
  </sheetData>
  <mergeCells count="36">
    <mergeCell ref="A25:A26"/>
    <mergeCell ref="B21:B22"/>
    <mergeCell ref="B23:B24"/>
    <mergeCell ref="B25:B26"/>
    <mergeCell ref="P4:Q4"/>
    <mergeCell ref="A5:A6"/>
    <mergeCell ref="A7:A8"/>
    <mergeCell ref="A9:A10"/>
    <mergeCell ref="A11:A12"/>
    <mergeCell ref="A13:A14"/>
    <mergeCell ref="A15:A16"/>
    <mergeCell ref="B7:B8"/>
    <mergeCell ref="A21:A22"/>
    <mergeCell ref="A23:A24"/>
    <mergeCell ref="A41:B41"/>
    <mergeCell ref="C28:H28"/>
    <mergeCell ref="O28:P29"/>
    <mergeCell ref="I28:N28"/>
    <mergeCell ref="B28:B29"/>
    <mergeCell ref="A28:A29"/>
    <mergeCell ref="A1:F1"/>
    <mergeCell ref="A19:A20"/>
    <mergeCell ref="B19:B20"/>
    <mergeCell ref="B9:B10"/>
    <mergeCell ref="B11:B12"/>
    <mergeCell ref="B13:B14"/>
    <mergeCell ref="B15:B16"/>
    <mergeCell ref="A2:N2"/>
    <mergeCell ref="A3:A4"/>
    <mergeCell ref="B3:B4"/>
    <mergeCell ref="C3:C4"/>
    <mergeCell ref="B17:B18"/>
    <mergeCell ref="D3:I3"/>
    <mergeCell ref="J3:O3"/>
    <mergeCell ref="A17:A18"/>
    <mergeCell ref="B5:B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LK isi</vt:lpstr>
      <vt:lpstr>Laporan Light Source</vt:lpstr>
      <vt:lpstr>olah data</vt:lpstr>
      <vt:lpstr>Serti Lux</vt:lpstr>
      <vt:lpstr>esa</vt:lpstr>
      <vt:lpstr>ktps</vt:lpstr>
      <vt:lpstr>serti thermohygro</vt:lpstr>
      <vt:lpstr>Drift</vt:lpstr>
      <vt:lpstr>'Laporan Light Source'!Print_Area</vt:lpstr>
      <vt:lpstr>'LK isi'!Print_Area</vt:lpstr>
      <vt:lpstr>'olah data'!Print_Area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HP05A1</dc:creator>
  <cp:lastModifiedBy>User</cp:lastModifiedBy>
  <cp:lastPrinted>2023-12-10T12:02:26Z</cp:lastPrinted>
  <dcterms:created xsi:type="dcterms:W3CDTF">2016-06-07T11:32:03Z</dcterms:created>
  <dcterms:modified xsi:type="dcterms:W3CDTF">2023-12-29T08:55:08Z</dcterms:modified>
</cp:coreProperties>
</file>