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ceenglish/Desktop/Lab Shiz/BIOSSCOPE/SDOM/BIOS-SCOPE-SargassumDOM/Data/"/>
    </mc:Choice>
  </mc:AlternateContent>
  <xr:revisionPtr revIDLastSave="0" documentId="13_ncr:1_{8437964A-B65E-6E4B-8743-AED06176FF3E}" xr6:coauthVersionLast="47" xr6:coauthVersionMax="47" xr10:uidLastSave="{00000000-0000-0000-0000-000000000000}"/>
  <bookViews>
    <workbookView xWindow="0" yWindow="460" windowWidth="28800" windowHeight="17540" activeTab="3" xr2:uid="{A1562839-BCD3-5941-A33F-54AC6068072B}"/>
  </bookViews>
  <sheets>
    <sheet name="Sheet1" sheetId="1" r:id="rId1"/>
    <sheet name="Sheet3" sheetId="4" r:id="rId2"/>
    <sheet name="mol_percent_sugars" sheetId="3" r:id="rId3"/>
    <sheet name="Summary" sheetId="2" r:id="rId4"/>
    <sheet name="Summary_Bulk_DOC" sheetId="5" r:id="rId5"/>
    <sheet name="Summary_TCHO_Sugar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C19" i="2"/>
  <c r="F9" i="3"/>
  <c r="G9" i="3"/>
  <c r="H9" i="3"/>
  <c r="I9" i="3"/>
  <c r="J9" i="3"/>
  <c r="K9" i="3"/>
  <c r="L9" i="3"/>
  <c r="M9" i="3"/>
  <c r="N9" i="3"/>
  <c r="O9" i="3"/>
  <c r="P9" i="3"/>
  <c r="Q9" i="3"/>
  <c r="F10" i="3"/>
  <c r="G10" i="3"/>
  <c r="H10" i="3"/>
  <c r="I10" i="3"/>
  <c r="J10" i="3"/>
  <c r="K10" i="3"/>
  <c r="L10" i="3"/>
  <c r="M10" i="3"/>
  <c r="N10" i="3"/>
  <c r="O10" i="3"/>
  <c r="P10" i="3"/>
  <c r="Q10" i="3"/>
  <c r="F11" i="3"/>
  <c r="G11" i="3"/>
  <c r="H11" i="3"/>
  <c r="I11" i="3"/>
  <c r="J11" i="3"/>
  <c r="K11" i="3"/>
  <c r="L11" i="3"/>
  <c r="M11" i="3"/>
  <c r="N11" i="3"/>
  <c r="O11" i="3"/>
  <c r="P11" i="3"/>
  <c r="Q11" i="3"/>
  <c r="F12" i="3"/>
  <c r="G12" i="3"/>
  <c r="H12" i="3"/>
  <c r="I12" i="3"/>
  <c r="J12" i="3"/>
  <c r="K12" i="3"/>
  <c r="L12" i="3"/>
  <c r="M12" i="3"/>
  <c r="N12" i="3"/>
  <c r="O12" i="3"/>
  <c r="P12" i="3"/>
  <c r="Q12" i="3"/>
  <c r="E9" i="3"/>
  <c r="E10" i="3"/>
  <c r="E11" i="3"/>
  <c r="E12" i="3"/>
  <c r="D12" i="3"/>
  <c r="D11" i="3"/>
  <c r="D10" i="3"/>
  <c r="D9" i="3"/>
  <c r="Q3" i="2" l="1"/>
  <c r="Q4" i="2"/>
  <c r="Q5" i="2"/>
  <c r="Q6" i="2"/>
  <c r="Q7" i="2"/>
  <c r="Q2" i="2"/>
  <c r="P3" i="2"/>
  <c r="P4" i="2"/>
  <c r="P5" i="2"/>
  <c r="P6" i="2"/>
  <c r="P7" i="2"/>
  <c r="P2" i="2"/>
  <c r="V17" i="3"/>
  <c r="V18" i="3"/>
  <c r="V19" i="3"/>
  <c r="V20" i="3"/>
  <c r="V21" i="3"/>
  <c r="V16" i="3"/>
  <c r="X7" i="3"/>
  <c r="X5" i="3"/>
  <c r="X4" i="3"/>
  <c r="X2" i="3"/>
  <c r="W3" i="3"/>
  <c r="W4" i="3"/>
  <c r="W5" i="3"/>
  <c r="W6" i="3"/>
  <c r="W7" i="3"/>
  <c r="W2" i="3"/>
  <c r="V3" i="3"/>
  <c r="V4" i="3"/>
  <c r="V5" i="3"/>
  <c r="V6" i="3"/>
  <c r="V7" i="3"/>
  <c r="V2" i="3"/>
  <c r="T16" i="3"/>
  <c r="U16" i="3"/>
  <c r="T17" i="3"/>
  <c r="U17" i="3"/>
  <c r="T18" i="3"/>
  <c r="U18" i="3"/>
  <c r="T19" i="3"/>
  <c r="U19" i="3"/>
  <c r="T20" i="3"/>
  <c r="U20" i="3"/>
  <c r="T21" i="3"/>
  <c r="U21" i="3"/>
  <c r="S17" i="3"/>
  <c r="S18" i="3"/>
  <c r="S19" i="3"/>
  <c r="S20" i="3"/>
  <c r="S21" i="3"/>
  <c r="S16" i="3"/>
  <c r="T9" i="3"/>
  <c r="U9" i="3"/>
  <c r="T10" i="3"/>
  <c r="U10" i="3"/>
  <c r="T11" i="3"/>
  <c r="U11" i="3"/>
  <c r="T12" i="3"/>
  <c r="U12" i="3"/>
  <c r="T13" i="3"/>
  <c r="U13" i="3"/>
  <c r="T14" i="3"/>
  <c r="U14" i="3"/>
  <c r="S10" i="3"/>
  <c r="S11" i="3"/>
  <c r="S12" i="3"/>
  <c r="S13" i="3"/>
  <c r="S14" i="3"/>
  <c r="S9" i="3"/>
  <c r="S2" i="3"/>
  <c r="T2" i="3" s="1"/>
  <c r="S3" i="3"/>
  <c r="T3" i="3" s="1"/>
  <c r="S4" i="3"/>
  <c r="T4" i="3" s="1"/>
  <c r="U4" i="3"/>
  <c r="S5" i="3"/>
  <c r="T5" i="3"/>
  <c r="U5" i="3"/>
  <c r="S6" i="3"/>
  <c r="T6" i="3" s="1"/>
  <c r="S7" i="3"/>
  <c r="T7" i="3" s="1"/>
  <c r="U6" i="3" l="1"/>
  <c r="U2" i="3"/>
  <c r="U7" i="3"/>
  <c r="U3" i="3"/>
  <c r="H3" i="5" l="1"/>
  <c r="H4" i="5"/>
  <c r="H5" i="5"/>
  <c r="H2" i="5"/>
  <c r="K11" i="4"/>
  <c r="K12" i="4"/>
  <c r="K13" i="4"/>
  <c r="K14" i="4"/>
  <c r="K15" i="4"/>
  <c r="K10" i="4"/>
  <c r="K20" i="2"/>
  <c r="K18" i="2"/>
  <c r="J20" i="2"/>
  <c r="J18" i="2"/>
  <c r="I20" i="2"/>
  <c r="I18" i="2"/>
  <c r="J10" i="2"/>
  <c r="J12" i="2"/>
  <c r="I10" i="2"/>
  <c r="I11" i="2"/>
  <c r="I12" i="2"/>
  <c r="I13" i="2"/>
  <c r="H10" i="2"/>
  <c r="F13" i="2"/>
  <c r="H13" i="2" s="1"/>
  <c r="F12" i="2"/>
  <c r="H12" i="2" s="1"/>
  <c r="F11" i="2"/>
  <c r="H11" i="2" s="1"/>
  <c r="C12" i="2"/>
  <c r="F6" i="4"/>
  <c r="F5" i="4"/>
  <c r="F3" i="4"/>
  <c r="F2" i="4"/>
  <c r="C10" i="2"/>
  <c r="D12" i="2"/>
  <c r="D10" i="2"/>
  <c r="N7" i="4" l="1"/>
  <c r="N4" i="4"/>
  <c r="M7" i="4"/>
  <c r="M4" i="4"/>
  <c r="E15" i="4"/>
  <c r="E12" i="4"/>
  <c r="L11" i="4"/>
  <c r="L12" i="4"/>
  <c r="L13" i="4"/>
  <c r="L14" i="4"/>
  <c r="L15" i="4"/>
  <c r="H15" i="4"/>
  <c r="N15" i="4" s="1"/>
  <c r="H12" i="4"/>
  <c r="N12" i="4" s="1"/>
  <c r="L10" i="4" l="1"/>
  <c r="I11" i="4" l="1"/>
  <c r="J11" i="4" s="1"/>
  <c r="I13" i="4"/>
  <c r="I14" i="4"/>
  <c r="J14" i="4" s="1"/>
  <c r="I10" i="4"/>
  <c r="H14" i="4"/>
  <c r="N14" i="4" s="1"/>
  <c r="H13" i="4"/>
  <c r="N13" i="4" s="1"/>
  <c r="H11" i="4"/>
  <c r="N11" i="4" s="1"/>
  <c r="H10" i="4"/>
  <c r="N10" i="4" s="1"/>
  <c r="W39" i="1"/>
  <c r="W35" i="1"/>
  <c r="W14" i="1"/>
  <c r="W10" i="1"/>
  <c r="J13" i="4" l="1"/>
  <c r="J10" i="4"/>
  <c r="P14" i="1" l="1"/>
  <c r="R14" i="1" s="1"/>
  <c r="P13" i="1"/>
  <c r="Q13" i="1" s="1"/>
  <c r="P12" i="1"/>
  <c r="Q12" i="1" s="1"/>
  <c r="P11" i="1"/>
  <c r="Q11" i="1" s="1"/>
  <c r="P10" i="1"/>
  <c r="R10" i="1" s="1"/>
  <c r="P9" i="1"/>
  <c r="Q9" i="1" s="1"/>
  <c r="P8" i="1"/>
  <c r="Q8" i="1" s="1"/>
  <c r="P7" i="1"/>
  <c r="Q7" i="1" s="1"/>
  <c r="Q10" i="1" l="1"/>
  <c r="Q14" i="1"/>
  <c r="P37" i="1"/>
  <c r="P38" i="1"/>
  <c r="P39" i="1"/>
  <c r="R39" i="1" s="1"/>
  <c r="P36" i="1"/>
  <c r="Q36" i="1" s="1"/>
  <c r="P33" i="1"/>
  <c r="P34" i="1"/>
  <c r="P35" i="1"/>
  <c r="R35" i="1" s="1"/>
  <c r="P32" i="1"/>
  <c r="Q32" i="1" s="1"/>
  <c r="L41" i="1" l="1"/>
  <c r="L42" i="1" s="1"/>
  <c r="L43" i="1" s="1"/>
  <c r="I43" i="1"/>
  <c r="I42" i="1"/>
  <c r="I41" i="1"/>
  <c r="I40" i="1"/>
  <c r="S27" i="1"/>
  <c r="S28" i="1"/>
  <c r="S29" i="1"/>
  <c r="S30" i="1"/>
  <c r="S31" i="1"/>
  <c r="S32" i="1"/>
  <c r="T32" i="1" s="1"/>
  <c r="S36" i="1"/>
  <c r="T36" i="1" s="1"/>
  <c r="L37" i="1"/>
  <c r="L33" i="1"/>
  <c r="I36" i="1"/>
  <c r="I37" i="1"/>
  <c r="I38" i="1"/>
  <c r="I39" i="1"/>
  <c r="I35" i="1"/>
  <c r="I34" i="1"/>
  <c r="I33" i="1"/>
  <c r="I32" i="1"/>
  <c r="J32" i="1" s="1"/>
  <c r="I31" i="1"/>
  <c r="I30" i="1"/>
  <c r="I29" i="1"/>
  <c r="I28" i="1"/>
  <c r="K31" i="1"/>
  <c r="K30" i="1"/>
  <c r="K29" i="1"/>
  <c r="K28" i="1"/>
  <c r="K27" i="1"/>
  <c r="I27" i="1"/>
  <c r="J27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L34" i="1" l="1"/>
  <c r="S34" i="1" s="1"/>
  <c r="T34" i="1" s="1"/>
  <c r="Q33" i="1"/>
  <c r="L38" i="1"/>
  <c r="S38" i="1" s="1"/>
  <c r="T38" i="1" s="1"/>
  <c r="Q37" i="1"/>
  <c r="T30" i="1"/>
  <c r="J35" i="1"/>
  <c r="J42" i="1"/>
  <c r="J33" i="1"/>
  <c r="S33" i="1"/>
  <c r="T33" i="1" s="1"/>
  <c r="T29" i="1"/>
  <c r="J41" i="1"/>
  <c r="T28" i="1"/>
  <c r="J37" i="1"/>
  <c r="S37" i="1"/>
  <c r="T37" i="1" s="1"/>
  <c r="T31" i="1"/>
  <c r="T27" i="1"/>
  <c r="J36" i="1"/>
  <c r="J28" i="1"/>
  <c r="J43" i="1"/>
  <c r="J38" i="1"/>
  <c r="J40" i="1"/>
  <c r="J34" i="1"/>
  <c r="J39" i="1"/>
  <c r="J29" i="1"/>
  <c r="J31" i="1"/>
  <c r="J30" i="1"/>
  <c r="S3" i="1"/>
  <c r="S4" i="1"/>
  <c r="S5" i="1"/>
  <c r="S6" i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2" i="1"/>
  <c r="K6" i="1"/>
  <c r="K5" i="1"/>
  <c r="K4" i="1"/>
  <c r="K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J15" i="1" s="1"/>
  <c r="I16" i="1"/>
  <c r="I17" i="1"/>
  <c r="I18" i="1"/>
  <c r="I19" i="1"/>
  <c r="J19" i="1" s="1"/>
  <c r="I20" i="1"/>
  <c r="I21" i="1"/>
  <c r="I22" i="1"/>
  <c r="I23" i="1"/>
  <c r="J23" i="1" s="1"/>
  <c r="I24" i="1"/>
  <c r="I25" i="1"/>
  <c r="I26" i="1"/>
  <c r="I2" i="1"/>
  <c r="L39" i="1" l="1"/>
  <c r="Q38" i="1"/>
  <c r="L35" i="1"/>
  <c r="Q34" i="1"/>
  <c r="J24" i="1"/>
  <c r="J20" i="1"/>
  <c r="J25" i="1"/>
  <c r="J21" i="1"/>
  <c r="J17" i="1"/>
  <c r="J5" i="1"/>
  <c r="J4" i="1"/>
  <c r="J3" i="1"/>
  <c r="J12" i="1"/>
  <c r="J8" i="1"/>
  <c r="T6" i="1"/>
  <c r="J11" i="1"/>
  <c r="J26" i="1"/>
  <c r="J22" i="1"/>
  <c r="J14" i="1"/>
  <c r="J13" i="1"/>
  <c r="T4" i="1"/>
  <c r="J18" i="1"/>
  <c r="J10" i="1"/>
  <c r="J6" i="1"/>
  <c r="J2" i="1"/>
  <c r="T2" i="1"/>
  <c r="T3" i="1"/>
  <c r="J16" i="1"/>
  <c r="T5" i="1"/>
  <c r="J7" i="1"/>
  <c r="J9" i="1"/>
  <c r="S35" i="1" l="1"/>
  <c r="T35" i="1" s="1"/>
  <c r="Q35" i="1"/>
  <c r="S39" i="1"/>
  <c r="T39" i="1" s="1"/>
  <c r="Q39" i="1"/>
</calcChain>
</file>

<file path=xl/sharedStrings.xml><?xml version="1.0" encoding="utf-8"?>
<sst xmlns="http://schemas.openxmlformats.org/spreadsheetml/2006/main" count="457" uniqueCount="108">
  <si>
    <t>Sarg_21_3_conditioning</t>
  </si>
  <si>
    <t>Sarg_21_1_exudate_B</t>
  </si>
  <si>
    <t>Sarg_21_1_exudate_A</t>
  </si>
  <si>
    <t>Sarg_21_2_exudate_B</t>
  </si>
  <si>
    <t>Sarg_21_2_exudate_A</t>
  </si>
  <si>
    <t>Sarg_21_2_Conditioning</t>
  </si>
  <si>
    <t>phase</t>
  </si>
  <si>
    <t>Conditioning</t>
  </si>
  <si>
    <t>Exudation</t>
  </si>
  <si>
    <t>id</t>
  </si>
  <si>
    <t>experiment</t>
  </si>
  <si>
    <t>21_2</t>
  </si>
  <si>
    <t>21_1</t>
  </si>
  <si>
    <t>21_3</t>
  </si>
  <si>
    <t>bottle</t>
  </si>
  <si>
    <t>A</t>
  </si>
  <si>
    <t>B</t>
  </si>
  <si>
    <t>Sarg_21_3_exudate_A</t>
  </si>
  <si>
    <t>Sarg_21_3_exudate_B</t>
  </si>
  <si>
    <t>sarg_biomass</t>
  </si>
  <si>
    <t>volume</t>
  </si>
  <si>
    <t>doc_uM</t>
  </si>
  <si>
    <t>doc_sd_uM</t>
  </si>
  <si>
    <t>timepoint</t>
  </si>
  <si>
    <t>date</t>
  </si>
  <si>
    <t>time</t>
  </si>
  <si>
    <t>date_time</t>
  </si>
  <si>
    <t>days</t>
  </si>
  <si>
    <t>mgC_doc</t>
  </si>
  <si>
    <t>doc_mgC_perbiomass</t>
  </si>
  <si>
    <t>Sarg_21_3_exudate_C</t>
  </si>
  <si>
    <t>Control</t>
  </si>
  <si>
    <t>C</t>
  </si>
  <si>
    <t>21_4</t>
  </si>
  <si>
    <t>21_5</t>
  </si>
  <si>
    <t>21_6</t>
  </si>
  <si>
    <t>phys_state</t>
  </si>
  <si>
    <t>Senescent</t>
  </si>
  <si>
    <t>Mature</t>
  </si>
  <si>
    <t>Extract</t>
  </si>
  <si>
    <t>Whole</t>
  </si>
  <si>
    <t>PPL</t>
  </si>
  <si>
    <t xml:space="preserve">% HMW-TPC </t>
  </si>
  <si>
    <t>DON_uM</t>
  </si>
  <si>
    <t>blanked_DOC_uMC</t>
  </si>
  <si>
    <t>C:N</t>
  </si>
  <si>
    <t>C_N</t>
  </si>
  <si>
    <t>% TDAA</t>
  </si>
  <si>
    <t>Condition</t>
  </si>
  <si>
    <r>
      <t>DOC Production (µmolC g</t>
    </r>
    <r>
      <rPr>
        <b/>
        <vertAlign val="subscript"/>
        <sz val="20"/>
        <color theme="1"/>
        <rFont val="Times New Roman"/>
        <family val="1"/>
      </rPr>
      <t>WW</t>
    </r>
    <r>
      <rPr>
        <b/>
        <sz val="24"/>
        <color theme="1"/>
        <rFont val="Times New Roman"/>
        <family val="1"/>
      </rPr>
      <t xml:space="preserve"> d</t>
    </r>
    <r>
      <rPr>
        <b/>
        <vertAlign val="superscript"/>
        <sz val="24"/>
        <color theme="1"/>
        <rFont val="Times New Roman"/>
        <family val="1"/>
      </rPr>
      <t>-1</t>
    </r>
    <r>
      <rPr>
        <b/>
        <sz val="24"/>
        <color theme="1"/>
        <rFont val="Times New Roman"/>
        <family val="1"/>
      </rPr>
      <t>)</t>
    </r>
  </si>
  <si>
    <t>DOC_uMC_gWW_d</t>
  </si>
  <si>
    <t>DCS_uMC</t>
  </si>
  <si>
    <t>Fucose_uM</t>
  </si>
  <si>
    <t>Rhamnose_uM</t>
  </si>
  <si>
    <t>Galactoseamine_uM</t>
  </si>
  <si>
    <t>Arabinose_uM</t>
  </si>
  <si>
    <t>Glucoseamine_uM</t>
  </si>
  <si>
    <t>Galactose_uM</t>
  </si>
  <si>
    <t>Glucose_uM</t>
  </si>
  <si>
    <t>Mannose+Xylose_uM</t>
  </si>
  <si>
    <t>GluAc_uM</t>
  </si>
  <si>
    <t>MurAc_uM</t>
  </si>
  <si>
    <t>GalURA_uM</t>
  </si>
  <si>
    <t>GlcURA_uM</t>
  </si>
  <si>
    <t>DCS_uM</t>
  </si>
  <si>
    <t>DCS_HPLC_uMC</t>
  </si>
  <si>
    <t>TCHO_uMC_Glucose</t>
  </si>
  <si>
    <t>TCHO_uMC_Glucose_HMW</t>
  </si>
  <si>
    <t>TCHO_uMC_Glucose_LMW</t>
  </si>
  <si>
    <t>bag</t>
  </si>
  <si>
    <t>TCHO_perDOC</t>
  </si>
  <si>
    <t>HMW_TCHO_perTCHO</t>
  </si>
  <si>
    <t>TPC_uMC_PGE</t>
  </si>
  <si>
    <t>TPC_perDOC</t>
  </si>
  <si>
    <t>TDAA_perDOC</t>
  </si>
  <si>
    <t>% TCHO</t>
  </si>
  <si>
    <t>Sensecent</t>
  </si>
  <si>
    <t>DOC_PPL_Extraction_Efficiency</t>
  </si>
  <si>
    <t>TPC_Extraction_Efficiency</t>
  </si>
  <si>
    <t>TCHO_Extraction_Efficiency</t>
  </si>
  <si>
    <t>Total_Characterized_DOC</t>
  </si>
  <si>
    <t>Total DOC</t>
  </si>
  <si>
    <t>DOC Production (µmolC gWW d-1)</t>
  </si>
  <si>
    <t>per_TCHO</t>
  </si>
  <si>
    <t>TCHO_per_HMW</t>
  </si>
  <si>
    <t>TCHO_per_LMW</t>
  </si>
  <si>
    <t>TCHO_per_sugars</t>
  </si>
  <si>
    <t>Column1</t>
  </si>
  <si>
    <t>Column2</t>
  </si>
  <si>
    <t>DCS_HPLC_uMC_perTCHO</t>
  </si>
  <si>
    <t>TDAA</t>
  </si>
  <si>
    <t>TCHO</t>
  </si>
  <si>
    <t>TPC</t>
  </si>
  <si>
    <t>Uncharacterized</t>
  </si>
  <si>
    <t>21_2_PPL</t>
  </si>
  <si>
    <t>21_3_PPL</t>
  </si>
  <si>
    <t>A/B</t>
  </si>
  <si>
    <t>Fucoidan_Equivalents</t>
  </si>
  <si>
    <t>Fucose_Fucoidan+Equivalents</t>
  </si>
  <si>
    <t>Galactpse</t>
  </si>
  <si>
    <t>GlucURA</t>
  </si>
  <si>
    <t>Fucoidan</t>
  </si>
  <si>
    <t>Fucoidan_Equivalent</t>
  </si>
  <si>
    <t>Fucoidan_perC_HPLC_norm_TCHO</t>
  </si>
  <si>
    <t>Fucoidan_HPLC_uMC</t>
  </si>
  <si>
    <t>Unknown_TCHO</t>
  </si>
  <si>
    <t>Senescent PPL</t>
  </si>
  <si>
    <t>Mature 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</si>
</sst>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0"/>
      <color theme="1"/>
      <name val="Times New Roman"/>
      <family val="1"/>
    </font>
    <font>
      <b/>
      <sz val="24"/>
      <color theme="1"/>
      <name val="Times New Roman"/>
      <family val="1"/>
    </font>
    <font>
      <b/>
      <vertAlign val="superscript"/>
      <sz val="24"/>
      <color theme="1"/>
      <name val="Times New Roman"/>
      <family val="1"/>
    </font>
    <font>
      <b/>
      <vertAlign val="subscript"/>
      <sz val="20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3" fillId="0" borderId="0" xfId="0" applyFont="1"/>
    <xf numFmtId="1" fontId="4" fillId="0" borderId="0" xfId="0" applyNumberFormat="1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4" fontId="0" fillId="0" borderId="0" xfId="0" applyNumberFormat="1" applyAlignment="1">
      <alignment horizontal="right"/>
    </xf>
    <xf numFmtId="0" fontId="8" fillId="0" borderId="0" xfId="0" applyFont="1"/>
    <xf numFmtId="164" fontId="5" fillId="0" borderId="0" xfId="0" applyNumberFormat="1" applyFont="1"/>
  </cellXfs>
  <cellStyles count="1">
    <cellStyle name="Normal" xfId="0" builtinId="0"/>
  </cellStyles>
  <dxfs count="12"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</dxf>
    <dxf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971523853635941"/>
                  <c:y val="-3.691273809282837E-3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Sheet1!$J$2:$J$6</c:f>
              <c:numCache>
                <c:formatCode>0.00</c:formatCode>
                <c:ptCount val="5"/>
                <c:pt idx="0">
                  <c:v>0</c:v>
                </c:pt>
                <c:pt idx="1">
                  <c:v>1.0833333333357587</c:v>
                </c:pt>
                <c:pt idx="2">
                  <c:v>2.0277777777810115</c:v>
                </c:pt>
                <c:pt idx="3">
                  <c:v>3.0354166666656965</c:v>
                </c:pt>
                <c:pt idx="4">
                  <c:v>4.1041666666642413</c:v>
                </c:pt>
              </c:numCache>
            </c:numRef>
          </c:xVal>
          <c:yVal>
            <c:numRef>
              <c:f>Sheet1!$T$2:$T$6</c:f>
              <c:numCache>
                <c:formatCode>0.0</c:formatCode>
                <c:ptCount val="5"/>
                <c:pt idx="0">
                  <c:v>3.8272699496235379E-2</c:v>
                </c:pt>
                <c:pt idx="1">
                  <c:v>1.3105671589972676</c:v>
                </c:pt>
                <c:pt idx="2">
                  <c:v>3.9130058675430979</c:v>
                </c:pt>
                <c:pt idx="3">
                  <c:v>5.7276881046583394</c:v>
                </c:pt>
                <c:pt idx="4">
                  <c:v>7.2899774465222071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5-4D4D-8D3F-92B6D0D7ED44}"/>
            </c:ext>
          </c:extLst>
        </c:ser>
        <c:ser>
          <c:idx val="1"/>
          <c:order val="1"/>
          <c:tx>
            <c:v>Exudate_A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296699089084454"/>
                  <c:y val="-6.9614800720604011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Sheet1!$J$7:$J$10</c:f>
              <c:numCache>
                <c:formatCode>0.00</c:formatCode>
                <c:ptCount val="4"/>
                <c:pt idx="0">
                  <c:v>0</c:v>
                </c:pt>
                <c:pt idx="1">
                  <c:v>1.0104166666642413</c:v>
                </c:pt>
                <c:pt idx="2">
                  <c:v>2.1631944444452529</c:v>
                </c:pt>
                <c:pt idx="3">
                  <c:v>2.9270833333357587</c:v>
                </c:pt>
              </c:numCache>
            </c:numRef>
          </c:xVal>
          <c:yVal>
            <c:numRef>
              <c:f>Sheet1!$T$7:$T$10</c:f>
              <c:numCache>
                <c:formatCode>0.0</c:formatCode>
                <c:ptCount val="4"/>
                <c:pt idx="0">
                  <c:v>0.14050677149668395</c:v>
                </c:pt>
                <c:pt idx="1">
                  <c:v>3.1632289623310212</c:v>
                </c:pt>
                <c:pt idx="2">
                  <c:v>4.9074692550354246</c:v>
                </c:pt>
                <c:pt idx="3">
                  <c:v>5.569220515637312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B5-4D4D-8D3F-92B6D0D7ED44}"/>
            </c:ext>
          </c:extLst>
        </c:ser>
        <c:ser>
          <c:idx val="2"/>
          <c:order val="2"/>
          <c:tx>
            <c:v>Exudate_B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44450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82973598888373"/>
                  <c:y val="-0.13981316924073436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Sheet1!$J$11:$J$14</c:f>
              <c:numCache>
                <c:formatCode>0.00</c:formatCode>
                <c:ptCount val="4"/>
                <c:pt idx="0">
                  <c:v>0</c:v>
                </c:pt>
                <c:pt idx="1">
                  <c:v>1.0104166666642413</c:v>
                </c:pt>
                <c:pt idx="2">
                  <c:v>2.1631944444452529</c:v>
                </c:pt>
                <c:pt idx="3">
                  <c:v>2.9270833333357587</c:v>
                </c:pt>
              </c:numCache>
            </c:numRef>
          </c:xVal>
          <c:yVal>
            <c:numRef>
              <c:f>Sheet1!$T$11:$T$14</c:f>
              <c:numCache>
                <c:formatCode>0.0</c:formatCode>
                <c:ptCount val="4"/>
                <c:pt idx="0">
                  <c:v>8.8934000629859775E-2</c:v>
                </c:pt>
                <c:pt idx="1">
                  <c:v>2.196043931767635</c:v>
                </c:pt>
                <c:pt idx="2">
                  <c:v>3.6653592873687342</c:v>
                </c:pt>
                <c:pt idx="3">
                  <c:v>4.1006133231635866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B5-4D4D-8D3F-92B6D0D7ED44}"/>
            </c:ext>
          </c:extLst>
        </c:ser>
        <c:ser>
          <c:idx val="4"/>
          <c:order val="3"/>
          <c:tx>
            <c:v>Sarg1_A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071360197622357E-2"/>
                  <c:y val="-0.39281723781956562"/>
                </c:manualLayout>
              </c:layout>
              <c:numFmt formatCode="General" sourceLinked="0"/>
              <c:spPr>
                <a:noFill/>
                <a:ln>
                  <a:solidFill>
                    <a:schemeClr val="accent5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Sheet1!$J$15:$J$19</c:f>
              <c:numCache>
                <c:formatCode>0.00</c:formatCode>
                <c:ptCount val="5"/>
                <c:pt idx="0">
                  <c:v>0</c:v>
                </c:pt>
                <c:pt idx="1">
                  <c:v>0.97916666666424135</c:v>
                </c:pt>
                <c:pt idx="2">
                  <c:v>1.875</c:v>
                </c:pt>
                <c:pt idx="3">
                  <c:v>4.8541666666642413</c:v>
                </c:pt>
                <c:pt idx="4">
                  <c:v>6.9791666666642413</c:v>
                </c:pt>
              </c:numCache>
            </c:numRef>
          </c:xVal>
          <c:yVal>
            <c:numRef>
              <c:f>Sheet1!$T$15:$T$19</c:f>
              <c:numCache>
                <c:formatCode>0.0</c:formatCode>
                <c:ptCount val="5"/>
                <c:pt idx="0">
                  <c:v>0.12035688118327961</c:v>
                </c:pt>
                <c:pt idx="1">
                  <c:v>0.28201889847963146</c:v>
                </c:pt>
                <c:pt idx="2">
                  <c:v>0.37686684221793076</c:v>
                </c:pt>
                <c:pt idx="3">
                  <c:v>0.90577379961516091</c:v>
                </c:pt>
                <c:pt idx="4">
                  <c:v>1.0254737011679422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4B-7D4C-BF52-F9257D7C3B29}"/>
            </c:ext>
          </c:extLst>
        </c:ser>
        <c:ser>
          <c:idx val="5"/>
          <c:order val="4"/>
          <c:tx>
            <c:v>Sarg1_B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36547784468118E-2"/>
                  <c:y val="-0.32207416553650586"/>
                </c:manualLayout>
              </c:layout>
              <c:numFmt formatCode="General" sourceLinked="0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Sheet1!$J$21:$J$25</c:f>
              <c:numCache>
                <c:formatCode>0.00</c:formatCode>
                <c:ptCount val="5"/>
                <c:pt idx="0">
                  <c:v>0</c:v>
                </c:pt>
                <c:pt idx="1">
                  <c:v>0.97916666666424135</c:v>
                </c:pt>
                <c:pt idx="2">
                  <c:v>1.875</c:v>
                </c:pt>
                <c:pt idx="3">
                  <c:v>4.8541666666642413</c:v>
                </c:pt>
                <c:pt idx="4">
                  <c:v>6.9791666666642413</c:v>
                </c:pt>
              </c:numCache>
            </c:numRef>
          </c:xVal>
          <c:yVal>
            <c:numRef>
              <c:f>Sheet1!$T$21:$T$25</c:f>
              <c:numCache>
                <c:formatCode>0.0</c:formatCode>
                <c:ptCount val="5"/>
                <c:pt idx="0">
                  <c:v>0.11026380992241616</c:v>
                </c:pt>
                <c:pt idx="1">
                  <c:v>0.26151558392790092</c:v>
                </c:pt>
                <c:pt idx="2">
                  <c:v>0.35657075081325235</c:v>
                </c:pt>
                <c:pt idx="3">
                  <c:v>0.75028021173344095</c:v>
                </c:pt>
                <c:pt idx="4">
                  <c:v>0.95679225858632566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4B-7D4C-BF52-F9257D7C3B29}"/>
            </c:ext>
          </c:extLst>
        </c:ser>
        <c:ser>
          <c:idx val="3"/>
          <c:order val="5"/>
          <c:tx>
            <c:v>Sarg3_A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86262158406671"/>
                  <c:y val="-0.30181264295690546"/>
                </c:manualLayout>
              </c:layout>
              <c:numFmt formatCode="General" sourceLinked="0"/>
              <c:spPr>
                <a:noFill/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Sheet1!$J$32:$J$35</c:f>
              <c:numCache>
                <c:formatCode>0.00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2.0208333333357587</c:v>
                </c:pt>
                <c:pt idx="3">
                  <c:v>3</c:v>
                </c:pt>
              </c:numCache>
            </c:numRef>
          </c:xVal>
          <c:yVal>
            <c:numRef>
              <c:f>Sheet1!$T$32:$T$35</c:f>
              <c:numCache>
                <c:formatCode>0.0</c:formatCode>
                <c:ptCount val="4"/>
                <c:pt idx="0">
                  <c:v>5.500976710840378E-2</c:v>
                </c:pt>
                <c:pt idx="1">
                  <c:v>0.20851037164677938</c:v>
                </c:pt>
                <c:pt idx="2">
                  <c:v>0.30036411302819715</c:v>
                </c:pt>
                <c:pt idx="3">
                  <c:v>0.34299637373726632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5E-0646-BA44-E0B879BE3284}"/>
            </c:ext>
          </c:extLst>
        </c:ser>
        <c:ser>
          <c:idx val="6"/>
          <c:order val="6"/>
          <c:tx>
            <c:v>Sarg3_B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487830785857648"/>
                  <c:y val="-0.23017144707811266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Sheet1!$J$36:$J$39</c:f>
              <c:numCache>
                <c:formatCode>0.00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2.0208333333357587</c:v>
                </c:pt>
                <c:pt idx="3">
                  <c:v>3</c:v>
                </c:pt>
              </c:numCache>
            </c:numRef>
          </c:xVal>
          <c:yVal>
            <c:numRef>
              <c:f>Sheet1!$T$36:$T$39</c:f>
              <c:numCache>
                <c:formatCode>0.0</c:formatCode>
                <c:ptCount val="4"/>
                <c:pt idx="0">
                  <c:v>4.4019178219141572E-2</c:v>
                </c:pt>
                <c:pt idx="1">
                  <c:v>0.14455012552208299</c:v>
                </c:pt>
                <c:pt idx="2">
                  <c:v>0.2243931368301787</c:v>
                </c:pt>
                <c:pt idx="3">
                  <c:v>0.26850606921487608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5E-0646-BA44-E0B879BE3284}"/>
            </c:ext>
          </c:extLst>
        </c:ser>
        <c:ser>
          <c:idx val="7"/>
          <c:order val="7"/>
          <c:tx>
            <c:v>Sarg3_Conditioning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2175204570017"/>
                  <c:y val="-0.14790923628119751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Sheet1!$J$27:$J$31</c:f>
              <c:numCache>
                <c:formatCode>0.00</c:formatCode>
                <c:ptCount val="5"/>
                <c:pt idx="0">
                  <c:v>0</c:v>
                </c:pt>
                <c:pt idx="1">
                  <c:v>0.46875</c:v>
                </c:pt>
                <c:pt idx="2">
                  <c:v>1.0243055555547471</c:v>
                </c:pt>
                <c:pt idx="3">
                  <c:v>1.4548611111094942</c:v>
                </c:pt>
                <c:pt idx="4">
                  <c:v>2.0555555555547471</c:v>
                </c:pt>
              </c:numCache>
            </c:numRef>
          </c:xVal>
          <c:yVal>
            <c:numRef>
              <c:f>Sheet1!$T$27:$T$31</c:f>
              <c:numCache>
                <c:formatCode>0.0</c:formatCode>
                <c:ptCount val="5"/>
                <c:pt idx="0">
                  <c:v>2.9306036700238642E-2</c:v>
                </c:pt>
                <c:pt idx="1">
                  <c:v>0.11327474194171344</c:v>
                </c:pt>
                <c:pt idx="2">
                  <c:v>0.16868726746331977</c:v>
                </c:pt>
                <c:pt idx="3">
                  <c:v>0.21510145665882266</c:v>
                </c:pt>
                <c:pt idx="4">
                  <c:v>0.24531209108974733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B5E-0646-BA44-E0B879BE3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665168"/>
        <c:axId val="1414666816"/>
      </c:scatterChart>
      <c:valAx>
        <c:axId val="14146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666816"/>
        <c:crosses val="autoZero"/>
        <c:crossBetween val="midCat"/>
      </c:valAx>
      <c:valAx>
        <c:axId val="1414666816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mg DOC g^-1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66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Fucose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mol_percent_sugars!$A$9:$A$13</c:f>
              <c:strCache>
                <c:ptCount val="4"/>
                <c:pt idx="0">
                  <c:v>Senescent</c:v>
                </c:pt>
                <c:pt idx="1">
                  <c:v>Senescent PPL</c:v>
                </c:pt>
                <c:pt idx="2">
                  <c:v>Mature</c:v>
                </c:pt>
                <c:pt idx="3">
                  <c:v>Mature PPL</c:v>
                </c:pt>
              </c:strCache>
            </c:strRef>
          </c:cat>
          <c:val>
            <c:numRef>
              <c:f>mol_percent_sugars!$F$9:$F$12</c:f>
              <c:numCache>
                <c:formatCode>0</c:formatCode>
                <c:ptCount val="4"/>
                <c:pt idx="0">
                  <c:v>16.030206497447161</c:v>
                </c:pt>
                <c:pt idx="1">
                  <c:v>19.274707792695541</c:v>
                </c:pt>
                <c:pt idx="2">
                  <c:v>18.33486955678875</c:v>
                </c:pt>
                <c:pt idx="3">
                  <c:v>18.397924227634803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C-114D-80B4-0D83DCF87ABD}"/>
            </c:ext>
          </c:extLst>
        </c:ser>
        <c:ser>
          <c:idx val="1"/>
          <c:order val="1"/>
          <c:tx>
            <c:v>Rhamnose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mol_percent_sugars!$G$9:$G$12</c:f>
              <c:numCache>
                <c:formatCode>0</c:formatCode>
                <c:ptCount val="4"/>
                <c:pt idx="0">
                  <c:v>0.86081955355659745</c:v>
                </c:pt>
                <c:pt idx="1">
                  <c:v>1.3154849259366306</c:v>
                </c:pt>
                <c:pt idx="2">
                  <c:v>0.44372514187612405</c:v>
                </c:pt>
                <c:pt idx="3">
                  <c:v>0.59216070319224468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C-114D-80B4-0D83DCF87ABD}"/>
            </c:ext>
          </c:extLst>
        </c:ser>
        <c:ser>
          <c:idx val="2"/>
          <c:order val="2"/>
          <c:tx>
            <c:v>Galactoseamine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mol_percent_sugars!$H$9:$H$12</c:f>
              <c:numCache>
                <c:formatCode>0</c:formatCode>
                <c:ptCount val="4"/>
                <c:pt idx="0">
                  <c:v>0.5149794108246506</c:v>
                </c:pt>
                <c:pt idx="1">
                  <c:v>0.4790831459520824</c:v>
                </c:pt>
                <c:pt idx="2">
                  <c:v>0.18301020597639478</c:v>
                </c:pt>
                <c:pt idx="3">
                  <c:v>0.1715824890568968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7C-114D-80B4-0D83DCF87ABD}"/>
            </c:ext>
          </c:extLst>
        </c:ser>
        <c:ser>
          <c:idx val="3"/>
          <c:order val="3"/>
          <c:tx>
            <c:v>Arabinose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mol_percent_sugars!$I$9:$I$12</c:f>
              <c:numCache>
                <c:formatCode>0</c:formatCode>
                <c:ptCount val="4"/>
                <c:pt idx="0">
                  <c:v>1.1245190433005292</c:v>
                </c:pt>
                <c:pt idx="1">
                  <c:v>5.4870075299185661</c:v>
                </c:pt>
                <c:pt idx="2">
                  <c:v>4.2024950138071651</c:v>
                </c:pt>
                <c:pt idx="3">
                  <c:v>3.3377641161602809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7C-114D-80B4-0D83DCF87ABD}"/>
            </c:ext>
          </c:extLst>
        </c:ser>
        <c:ser>
          <c:idx val="4"/>
          <c:order val="4"/>
          <c:tx>
            <c:v>Glucoseamine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mol_percent_sugars!$J$9:$J$12</c:f>
              <c:numCache>
                <c:formatCode>0</c:formatCode>
                <c:ptCount val="4"/>
                <c:pt idx="0">
                  <c:v>9.2321246127769037</c:v>
                </c:pt>
                <c:pt idx="1">
                  <c:v>12.625361138656702</c:v>
                </c:pt>
                <c:pt idx="2">
                  <c:v>3.493536086151209</c:v>
                </c:pt>
                <c:pt idx="3">
                  <c:v>5.0593680211318794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7C-114D-80B4-0D83DCF87ABD}"/>
            </c:ext>
          </c:extLst>
        </c:ser>
        <c:ser>
          <c:idx val="5"/>
          <c:order val="5"/>
          <c:tx>
            <c:v>Galactose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mol_percent_sugars!$K$9:$K$12</c:f>
              <c:numCache>
                <c:formatCode>0</c:formatCode>
                <c:ptCount val="4"/>
                <c:pt idx="0">
                  <c:v>34.16111810746326</c:v>
                </c:pt>
                <c:pt idx="1">
                  <c:v>28.468966531100531</c:v>
                </c:pt>
                <c:pt idx="2">
                  <c:v>33.495151204882099</c:v>
                </c:pt>
                <c:pt idx="3">
                  <c:v>27.843038623749024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7C-114D-80B4-0D83DCF87ABD}"/>
            </c:ext>
          </c:extLst>
        </c:ser>
        <c:ser>
          <c:idx val="6"/>
          <c:order val="6"/>
          <c:tx>
            <c:v>Glucose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mol_percent_sugars!$L$9:$L$12</c:f>
              <c:numCache>
                <c:formatCode>0</c:formatCode>
                <c:ptCount val="4"/>
                <c:pt idx="0">
                  <c:v>31.697970992019268</c:v>
                </c:pt>
                <c:pt idx="1">
                  <c:v>23.770961644378644</c:v>
                </c:pt>
                <c:pt idx="2">
                  <c:v>30.709286190679563</c:v>
                </c:pt>
                <c:pt idx="3">
                  <c:v>33.817535522694762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7C-114D-80B4-0D83DCF87ABD}"/>
            </c:ext>
          </c:extLst>
        </c:ser>
        <c:ser>
          <c:idx val="7"/>
          <c:order val="7"/>
          <c:tx>
            <c:v>Mann+Xylose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mol_percent_sugars!$M$9:$M$12</c:f>
              <c:numCache>
                <c:formatCode>0</c:formatCode>
                <c:ptCount val="4"/>
                <c:pt idx="0">
                  <c:v>1.7581649573905369</c:v>
                </c:pt>
                <c:pt idx="1">
                  <c:v>1.4124957861503253</c:v>
                </c:pt>
                <c:pt idx="2">
                  <c:v>3.1540808357901908</c:v>
                </c:pt>
                <c:pt idx="3">
                  <c:v>3.2922892570453222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7C-114D-80B4-0D83DCF87ABD}"/>
            </c:ext>
          </c:extLst>
        </c:ser>
        <c:ser>
          <c:idx val="8"/>
          <c:order val="8"/>
          <c:tx>
            <c:v>Galacturonic Acid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mol_percent_sugars!$P$9:$P$12</c:f>
              <c:numCache>
                <c:formatCode>0</c:formatCode>
                <c:ptCount val="4"/>
                <c:pt idx="0">
                  <c:v>0.56265761002279902</c:v>
                </c:pt>
                <c:pt idx="1">
                  <c:v>0.7854321878331133</c:v>
                </c:pt>
                <c:pt idx="2">
                  <c:v>0.42075183449638431</c:v>
                </c:pt>
                <c:pt idx="3">
                  <c:v>0.47117817094618375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7C-114D-80B4-0D83DCF87ABD}"/>
            </c:ext>
          </c:extLst>
        </c:ser>
        <c:ser>
          <c:idx val="9"/>
          <c:order val="9"/>
          <c:tx>
            <c:v>Glucuronic Acid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mol_percent_sugars!$Q$9:$Q$12</c:f>
              <c:numCache>
                <c:formatCode>0</c:formatCode>
                <c:ptCount val="4"/>
                <c:pt idx="0">
                  <c:v>4.0574392151983076</c:v>
                </c:pt>
                <c:pt idx="1">
                  <c:v>6.3804993173778772</c:v>
                </c:pt>
                <c:pt idx="2">
                  <c:v>5.5630939295521218</c:v>
                </c:pt>
                <c:pt idx="3">
                  <c:v>7.0171588683886146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7C-114D-80B4-0D83DCF87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100"/>
        <c:axId val="1438709616"/>
        <c:axId val="1438711296"/>
      </c:barChart>
      <c:catAx>
        <c:axId val="143870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8711296"/>
        <c:crosses val="autoZero"/>
        <c:auto val="1"/>
        <c:lblAlgn val="ctr"/>
        <c:lblOffset val="100"/>
        <c:noMultiLvlLbl val="0"/>
      </c:catAx>
      <c:valAx>
        <c:axId val="14387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870961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51437465665633"/>
          <c:y val="4.1022240640972499E-2"/>
          <c:w val="0.29814970803068219"/>
          <c:h val="0.70392043099875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248414</xdr:colOff>
      <xdr:row>44</xdr:row>
      <xdr:rowOff>9486</xdr:rowOff>
    </xdr:from>
    <xdr:to>
      <xdr:col>23</xdr:col>
      <xdr:colOff>365087</xdr:colOff>
      <xdr:row>68</xdr:row>
      <xdr:rowOff>68702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FFBAB-9416-0441-99E4-DECCD8520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15</xdr:row>
      <xdr:rowOff>63500</xdr:rowOff>
    </xdr:from>
    <xdr:to>
      <xdr:col>16</xdr:col>
      <xdr:colOff>38100</xdr:colOff>
      <xdr:row>50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D4960-DB3B-5AD8-12B5-D29123487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D2EC0E-10E2-C34A-8E1A-9BD37AEB95F6}" name="Table1" displayName="Table1" ref="A9:J13" totalsRowShown="0" headerRowDxfId="11" headerRowBorderDxfId="10" tableBorderDxfId="9">
  <autoFilter ref="A9:J13" xr:uid="{96D2EC0E-10E2-C34A-8E1A-9BD37AEB95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A962D63E-E0E9-3D4B-AE90-0938D9BF252B}" name="Condition" dataDxfId="8"/>
    <tableColumn id="2" xr3:uid="{F2DBE207-CD12-8743-B580-3EAF19890A24}" name="Extract" dataDxfId="7"/>
    <tableColumn id="3" xr3:uid="{809EA30F-CE0B-8245-A7BD-7C25362E7CC4}" name="DOC Production (µmolC gWW d-1)"/>
    <tableColumn id="4" xr3:uid="{AD946265-8900-F345-B523-999C8ED7D946}" name="C:N" dataDxfId="6"/>
    <tableColumn id="5" xr3:uid="{B2BE33EB-D7B3-B347-BB68-937DBC0B9FE0}" name="% HMW-TPC " dataDxfId="5"/>
    <tableColumn id="9" xr3:uid="{B8E49B81-C5B6-6743-BE7F-F79FBB00187C}" name="% TCHO" dataDxfId="4"/>
    <tableColumn id="7" xr3:uid="{7E6FBB22-A062-B741-8F73-983D576BC040}" name="% TDAA" dataDxfId="3"/>
    <tableColumn id="6" xr3:uid="{FDE04AFC-3E73-8D41-80A4-B4B1F5D5037F}" name="Total DOC" dataDxfId="2">
      <calculatedColumnFormula>SUM(Table1[[#This Row],[% HMW-TPC ]:[% TDAA]])</calculatedColumnFormula>
    </tableColumn>
    <tableColumn id="8" xr3:uid="{3225BF7F-6023-F44D-A0DE-C5FDFD2E9E7C}" name="Column1" dataDxfId="1">
      <calculatedColumnFormula>AVERAGE(I2:I3)</calculatedColumnFormula>
    </tableColumn>
    <tableColumn id="10" xr3:uid="{EA633C6A-646B-D14F-BA4F-4A7D8BA40D17}" name="Column2" dataDxfId="0">
      <calculatedColumnFormula>AVERAGE(J2:J3)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7E94-A34B-DA44-8842-1F9250F641AD}">
  <dimension ref="A1:AJ43"/>
  <sheetViews>
    <sheetView topLeftCell="S1" zoomScale="83" workbookViewId="0">
      <selection activeCell="D45" sqref="D45"/>
    </sheetView>
  </sheetViews>
  <sheetFormatPr baseColWidth="10" defaultRowHeight="16" x14ac:dyDescent="0.2"/>
  <cols>
    <col min="1" max="1" width="22.1640625" customWidth="1"/>
    <col min="2" max="5" width="19.5" customWidth="1"/>
    <col min="10" max="10" width="10.83203125" style="3"/>
    <col min="11" max="11" width="12.83203125" customWidth="1"/>
    <col min="13" max="16" width="10.83203125" style="4"/>
    <col min="17" max="17" width="17" style="4" customWidth="1"/>
    <col min="18" max="19" width="10.83203125" style="4"/>
    <col min="20" max="21" width="20.5" style="4" customWidth="1"/>
    <col min="22" max="22" width="23.5" style="4" customWidth="1"/>
    <col min="23" max="23" width="18.6640625" style="4" customWidth="1"/>
    <col min="24" max="24" width="10.83203125" style="5" customWidth="1"/>
    <col min="25" max="36" width="10.83203125" style="4"/>
  </cols>
  <sheetData>
    <row r="1" spans="1:36" x14ac:dyDescent="0.2">
      <c r="A1" t="s">
        <v>9</v>
      </c>
      <c r="B1" t="s">
        <v>10</v>
      </c>
      <c r="C1" t="s">
        <v>6</v>
      </c>
      <c r="D1" t="s">
        <v>36</v>
      </c>
      <c r="E1" t="s">
        <v>14</v>
      </c>
      <c r="F1" t="s">
        <v>23</v>
      </c>
      <c r="G1" t="s">
        <v>24</v>
      </c>
      <c r="H1" t="s">
        <v>25</v>
      </c>
      <c r="I1" t="s">
        <v>26</v>
      </c>
      <c r="J1" s="3" t="s">
        <v>27</v>
      </c>
      <c r="K1" t="s">
        <v>19</v>
      </c>
      <c r="L1" t="s">
        <v>20</v>
      </c>
      <c r="M1" s="4" t="s">
        <v>21</v>
      </c>
      <c r="N1" s="4" t="s">
        <v>22</v>
      </c>
      <c r="O1" s="4" t="s">
        <v>43</v>
      </c>
      <c r="P1" s="4" t="s">
        <v>44</v>
      </c>
      <c r="Q1" s="4" t="s">
        <v>50</v>
      </c>
      <c r="R1" s="4" t="s">
        <v>46</v>
      </c>
      <c r="S1" s="4" t="s">
        <v>28</v>
      </c>
      <c r="T1" s="4" t="s">
        <v>29</v>
      </c>
      <c r="U1" s="4" t="s">
        <v>66</v>
      </c>
      <c r="V1" s="4" t="s">
        <v>67</v>
      </c>
      <c r="W1" s="4" t="s">
        <v>68</v>
      </c>
      <c r="X1" s="5" t="s">
        <v>65</v>
      </c>
      <c r="Y1" s="4" t="s">
        <v>52</v>
      </c>
      <c r="Z1" s="4" t="s">
        <v>53</v>
      </c>
      <c r="AA1" s="4" t="s">
        <v>54</v>
      </c>
      <c r="AB1" s="4" t="s">
        <v>55</v>
      </c>
      <c r="AC1" s="4" t="s">
        <v>56</v>
      </c>
      <c r="AD1" s="4" t="s">
        <v>57</v>
      </c>
      <c r="AE1" s="4" t="s">
        <v>58</v>
      </c>
      <c r="AF1" s="4" t="s">
        <v>59</v>
      </c>
      <c r="AG1" s="4" t="s">
        <v>60</v>
      </c>
      <c r="AH1" s="4" t="s">
        <v>61</v>
      </c>
      <c r="AI1" s="4" t="s">
        <v>62</v>
      </c>
      <c r="AJ1" s="4" t="s">
        <v>63</v>
      </c>
    </row>
    <row r="2" spans="1:36" x14ac:dyDescent="0.2">
      <c r="A2" t="s">
        <v>5</v>
      </c>
      <c r="B2" t="s">
        <v>11</v>
      </c>
      <c r="C2" t="s">
        <v>7</v>
      </c>
      <c r="D2" t="s">
        <v>37</v>
      </c>
      <c r="E2" t="s">
        <v>15</v>
      </c>
      <c r="F2">
        <v>0</v>
      </c>
      <c r="G2" s="1">
        <v>44390</v>
      </c>
      <c r="H2" s="2">
        <v>0.5</v>
      </c>
      <c r="I2" s="2">
        <f>G2+H2</f>
        <v>44390.5</v>
      </c>
      <c r="J2" s="3">
        <f>I2 - $I$2</f>
        <v>0</v>
      </c>
      <c r="K2">
        <f>SUM(110.09,98.09,98.17,99.42)</f>
        <v>405.77000000000004</v>
      </c>
      <c r="L2">
        <v>10</v>
      </c>
      <c r="M2" s="4">
        <v>129.41594395489528</v>
      </c>
      <c r="N2" s="4">
        <v>0.32353985988723821</v>
      </c>
      <c r="S2" s="4">
        <f>(M2/1000)*12*L2</f>
        <v>15.529913274587432</v>
      </c>
      <c r="T2" s="4">
        <f>S2/K2</f>
        <v>3.8272699496235379E-2</v>
      </c>
    </row>
    <row r="3" spans="1:36" x14ac:dyDescent="0.2">
      <c r="A3" t="s">
        <v>5</v>
      </c>
      <c r="B3" t="s">
        <v>11</v>
      </c>
      <c r="C3" t="s">
        <v>7</v>
      </c>
      <c r="D3" t="s">
        <v>37</v>
      </c>
      <c r="E3" t="s">
        <v>15</v>
      </c>
      <c r="F3">
        <v>1</v>
      </c>
      <c r="G3" s="1">
        <v>44391</v>
      </c>
      <c r="H3" s="2">
        <v>0.58333333333333337</v>
      </c>
      <c r="I3" s="2">
        <f t="shared" ref="I3:I39" si="0">G3+H3</f>
        <v>44391.583333333336</v>
      </c>
      <c r="J3" s="3">
        <f t="shared" ref="J3:J6" si="1">I3 - $I$2</f>
        <v>1.0833333333357587</v>
      </c>
      <c r="K3">
        <f t="shared" ref="K3:K6" si="2">SUM(110.09,98.09,98.17,99.42)</f>
        <v>405.77000000000004</v>
      </c>
      <c r="L3">
        <v>9</v>
      </c>
      <c r="M3" s="4">
        <v>4923.9707046881604</v>
      </c>
      <c r="N3" s="4">
        <v>12.309926761720401</v>
      </c>
      <c r="O3" s="15"/>
      <c r="S3" s="4">
        <f t="shared" ref="S3:S39" si="3">(M3/1000)*12*L3</f>
        <v>531.78883610632136</v>
      </c>
      <c r="T3" s="4">
        <f t="shared" ref="T3:T39" si="4">S3/K3</f>
        <v>1.3105671589972676</v>
      </c>
    </row>
    <row r="4" spans="1:36" x14ac:dyDescent="0.2">
      <c r="A4" t="s">
        <v>5</v>
      </c>
      <c r="B4" t="s">
        <v>11</v>
      </c>
      <c r="C4" t="s">
        <v>7</v>
      </c>
      <c r="D4" t="s">
        <v>37</v>
      </c>
      <c r="E4" t="s">
        <v>15</v>
      </c>
      <c r="F4">
        <v>2</v>
      </c>
      <c r="G4" s="1">
        <v>44392</v>
      </c>
      <c r="H4" s="2">
        <v>0.52777777777777779</v>
      </c>
      <c r="I4" s="2">
        <f t="shared" si="0"/>
        <v>44392.527777777781</v>
      </c>
      <c r="J4" s="3">
        <f t="shared" si="1"/>
        <v>2.0277777777810115</v>
      </c>
      <c r="K4">
        <f t="shared" si="2"/>
        <v>405.77000000000004</v>
      </c>
      <c r="L4">
        <v>8.75</v>
      </c>
      <c r="M4" s="4">
        <v>15121.718008313932</v>
      </c>
      <c r="N4" s="4">
        <v>37.804295020784828</v>
      </c>
      <c r="S4" s="4">
        <f t="shared" si="3"/>
        <v>1587.7803908729629</v>
      </c>
      <c r="T4" s="4">
        <f t="shared" si="4"/>
        <v>3.9130058675430979</v>
      </c>
    </row>
    <row r="5" spans="1:36" x14ac:dyDescent="0.2">
      <c r="A5" t="s">
        <v>5</v>
      </c>
      <c r="B5" t="s">
        <v>11</v>
      </c>
      <c r="C5" t="s">
        <v>7</v>
      </c>
      <c r="D5" t="s">
        <v>37</v>
      </c>
      <c r="E5" t="s">
        <v>15</v>
      </c>
      <c r="F5">
        <v>3</v>
      </c>
      <c r="G5" s="1">
        <v>44393</v>
      </c>
      <c r="H5" s="2">
        <v>0.53541666666666665</v>
      </c>
      <c r="I5" s="2">
        <f t="shared" si="0"/>
        <v>44393.535416666666</v>
      </c>
      <c r="J5" s="3">
        <f t="shared" si="1"/>
        <v>3.0354166666656965</v>
      </c>
      <c r="K5">
        <f t="shared" si="2"/>
        <v>405.77000000000004</v>
      </c>
      <c r="L5">
        <v>8.5</v>
      </c>
      <c r="M5" s="4">
        <v>22785.529433600143</v>
      </c>
      <c r="N5" s="4">
        <v>56.963823584000359</v>
      </c>
      <c r="O5" s="15"/>
      <c r="S5" s="4">
        <f t="shared" si="3"/>
        <v>2324.1240022272145</v>
      </c>
      <c r="T5" s="4">
        <f t="shared" si="4"/>
        <v>5.7276881046583394</v>
      </c>
    </row>
    <row r="6" spans="1:36" x14ac:dyDescent="0.2">
      <c r="A6" t="s">
        <v>5</v>
      </c>
      <c r="B6" t="s">
        <v>11</v>
      </c>
      <c r="C6" t="s">
        <v>7</v>
      </c>
      <c r="D6" t="s">
        <v>37</v>
      </c>
      <c r="E6" t="s">
        <v>15</v>
      </c>
      <c r="F6">
        <v>4</v>
      </c>
      <c r="G6" s="1">
        <v>44394</v>
      </c>
      <c r="H6" s="2">
        <v>0.60416666666666663</v>
      </c>
      <c r="I6" s="2">
        <f t="shared" si="0"/>
        <v>44394.604166666664</v>
      </c>
      <c r="J6" s="3">
        <f t="shared" si="1"/>
        <v>4.1041666666642413</v>
      </c>
      <c r="K6">
        <f t="shared" si="2"/>
        <v>405.77000000000004</v>
      </c>
      <c r="L6">
        <v>8.25</v>
      </c>
      <c r="M6" s="4">
        <v>29879.334833084002</v>
      </c>
      <c r="N6" s="4">
        <v>74.698337082709998</v>
      </c>
      <c r="S6" s="4">
        <f t="shared" si="3"/>
        <v>2958.0541484753162</v>
      </c>
      <c r="T6" s="4">
        <f t="shared" si="4"/>
        <v>7.2899774465222071</v>
      </c>
    </row>
    <row r="7" spans="1:36" x14ac:dyDescent="0.2">
      <c r="A7" t="s">
        <v>4</v>
      </c>
      <c r="B7" t="s">
        <v>11</v>
      </c>
      <c r="C7" t="s">
        <v>8</v>
      </c>
      <c r="D7" t="s">
        <v>37</v>
      </c>
      <c r="E7" t="s">
        <v>15</v>
      </c>
      <c r="F7">
        <v>0</v>
      </c>
      <c r="G7" s="1">
        <v>44394</v>
      </c>
      <c r="H7" s="2">
        <v>0.65625</v>
      </c>
      <c r="I7" s="2">
        <f t="shared" si="0"/>
        <v>44394.65625</v>
      </c>
      <c r="J7" s="3">
        <f>I7 - $I$7</f>
        <v>0</v>
      </c>
      <c r="K7">
        <v>56.02</v>
      </c>
      <c r="L7">
        <v>4</v>
      </c>
      <c r="M7" s="4">
        <v>163.98311123425492</v>
      </c>
      <c r="N7" s="4">
        <v>3.2796622246850986</v>
      </c>
      <c r="O7" s="15"/>
      <c r="P7" s="4">
        <f>M7-M7</f>
        <v>0</v>
      </c>
      <c r="Q7" s="4">
        <f>P7*L7/K7</f>
        <v>0</v>
      </c>
      <c r="S7" s="4">
        <f t="shared" si="3"/>
        <v>7.8711893392442356</v>
      </c>
      <c r="T7" s="4">
        <f t="shared" si="4"/>
        <v>0.14050677149668395</v>
      </c>
    </row>
    <row r="8" spans="1:36" x14ac:dyDescent="0.2">
      <c r="A8" t="s">
        <v>4</v>
      </c>
      <c r="B8" t="s">
        <v>11</v>
      </c>
      <c r="C8" t="s">
        <v>8</v>
      </c>
      <c r="D8" t="s">
        <v>37</v>
      </c>
      <c r="E8" t="s">
        <v>15</v>
      </c>
      <c r="F8">
        <v>1</v>
      </c>
      <c r="G8" s="1">
        <v>44395</v>
      </c>
      <c r="H8" s="2">
        <v>0.66666666666666663</v>
      </c>
      <c r="I8" s="2">
        <f t="shared" si="0"/>
        <v>44395.666666666664</v>
      </c>
      <c r="J8" s="3">
        <f t="shared" ref="J8:J14" si="5">I8 - $I$7</f>
        <v>1.0104166666642413</v>
      </c>
      <c r="K8">
        <v>56.02</v>
      </c>
      <c r="L8">
        <v>3.75</v>
      </c>
      <c r="M8" s="4">
        <v>3937.8685882174182</v>
      </c>
      <c r="N8" s="4">
        <v>78.757371764348363</v>
      </c>
      <c r="P8" s="4">
        <f>M8-M7</f>
        <v>3773.8854769831632</v>
      </c>
      <c r="Q8" s="4">
        <f t="shared" ref="Q8:Q14" si="6">P8*L8/K8</f>
        <v>252.62532200440666</v>
      </c>
      <c r="S8" s="4">
        <f t="shared" si="3"/>
        <v>177.20408646978382</v>
      </c>
      <c r="T8" s="4">
        <f t="shared" si="4"/>
        <v>3.1632289623310212</v>
      </c>
    </row>
    <row r="9" spans="1:36" x14ac:dyDescent="0.2">
      <c r="A9" t="s">
        <v>4</v>
      </c>
      <c r="B9" t="s">
        <v>11</v>
      </c>
      <c r="C9" t="s">
        <v>8</v>
      </c>
      <c r="D9" t="s">
        <v>37</v>
      </c>
      <c r="E9" t="s">
        <v>15</v>
      </c>
      <c r="F9">
        <v>2</v>
      </c>
      <c r="G9" s="1">
        <v>44396</v>
      </c>
      <c r="H9" s="2">
        <v>0.81944444444444453</v>
      </c>
      <c r="I9" s="2">
        <f t="shared" si="0"/>
        <v>44396.819444444445</v>
      </c>
      <c r="J9" s="3">
        <f t="shared" si="5"/>
        <v>2.1631944444452529</v>
      </c>
      <c r="K9">
        <v>56.02</v>
      </c>
      <c r="L9">
        <v>3.5</v>
      </c>
      <c r="M9" s="4">
        <v>6545.629230168679</v>
      </c>
      <c r="N9" s="4">
        <v>130.91258460337357</v>
      </c>
      <c r="P9" s="4">
        <f>M9-M7</f>
        <v>6381.6461189344245</v>
      </c>
      <c r="Q9" s="4">
        <f t="shared" si="6"/>
        <v>398.71048583131886</v>
      </c>
      <c r="S9" s="4">
        <f t="shared" si="3"/>
        <v>274.91642766708452</v>
      </c>
      <c r="T9" s="4">
        <f t="shared" si="4"/>
        <v>4.9074692550354246</v>
      </c>
    </row>
    <row r="10" spans="1:36" x14ac:dyDescent="0.2">
      <c r="A10" t="s">
        <v>4</v>
      </c>
      <c r="B10" t="s">
        <v>11</v>
      </c>
      <c r="C10" t="s">
        <v>8</v>
      </c>
      <c r="D10" t="s">
        <v>37</v>
      </c>
      <c r="E10" t="s">
        <v>15</v>
      </c>
      <c r="F10">
        <v>3</v>
      </c>
      <c r="G10" s="1">
        <v>44397</v>
      </c>
      <c r="H10" s="2">
        <v>0.58333333333333337</v>
      </c>
      <c r="I10" s="2">
        <f t="shared" si="0"/>
        <v>44397.583333333336</v>
      </c>
      <c r="J10" s="3">
        <f t="shared" si="5"/>
        <v>2.9270833333357587</v>
      </c>
      <c r="K10">
        <v>56.02</v>
      </c>
      <c r="L10">
        <v>3.25</v>
      </c>
      <c r="M10" s="4">
        <v>7999.6854688718531</v>
      </c>
      <c r="N10" s="4">
        <v>159.99370937743706</v>
      </c>
      <c r="O10" s="15">
        <v>54.6</v>
      </c>
      <c r="P10" s="4">
        <f>M10-M7</f>
        <v>7835.7023576375977</v>
      </c>
      <c r="Q10" s="4">
        <f t="shared" si="6"/>
        <v>454.58823031635472</v>
      </c>
      <c r="R10" s="4">
        <f>P10/O10</f>
        <v>143.51103219116479</v>
      </c>
      <c r="S10" s="4">
        <f t="shared" si="3"/>
        <v>311.98773328600225</v>
      </c>
      <c r="T10" s="4">
        <f t="shared" si="4"/>
        <v>5.569220515637312</v>
      </c>
      <c r="U10" s="4">
        <v>480.17381999999998</v>
      </c>
      <c r="V10" s="4">
        <v>389.85835000000003</v>
      </c>
      <c r="W10" s="4">
        <f>U10-V10</f>
        <v>90.315469999999948</v>
      </c>
      <c r="X10" s="5">
        <v>160</v>
      </c>
      <c r="Y10" s="4">
        <v>4.3484323929443862</v>
      </c>
      <c r="Z10" s="4">
        <v>0.23206973000561312</v>
      </c>
      <c r="AA10" s="4">
        <v>0.12932860021945936</v>
      </c>
      <c r="AB10" s="4">
        <v>0.3440304131917819</v>
      </c>
      <c r="AC10" s="4">
        <v>2.419306246980423</v>
      </c>
      <c r="AD10" s="4">
        <v>9.0085348347983967</v>
      </c>
      <c r="AE10" s="4">
        <v>8.3187238349290773</v>
      </c>
      <c r="AF10" s="4">
        <v>0.45052818372632125</v>
      </c>
      <c r="AG10" s="4">
        <v>0</v>
      </c>
      <c r="AH10" s="4">
        <v>0</v>
      </c>
      <c r="AI10" s="4">
        <v>0.17713489625477163</v>
      </c>
      <c r="AJ10" s="4">
        <v>1.1366711850273108</v>
      </c>
    </row>
    <row r="11" spans="1:36" x14ac:dyDescent="0.2">
      <c r="A11" t="s">
        <v>3</v>
      </c>
      <c r="B11" t="s">
        <v>11</v>
      </c>
      <c r="C11" t="s">
        <v>8</v>
      </c>
      <c r="D11" t="s">
        <v>37</v>
      </c>
      <c r="E11" t="s">
        <v>16</v>
      </c>
      <c r="F11">
        <v>0</v>
      </c>
      <c r="G11" s="1">
        <v>44394</v>
      </c>
      <c r="H11" s="2">
        <v>0.65625</v>
      </c>
      <c r="I11" s="2">
        <f t="shared" si="0"/>
        <v>44394.65625</v>
      </c>
      <c r="J11" s="3">
        <f>I11 - $I$7</f>
        <v>0</v>
      </c>
      <c r="K11">
        <v>68.91</v>
      </c>
      <c r="L11">
        <v>4</v>
      </c>
      <c r="M11" s="4">
        <v>127.67587465424242</v>
      </c>
      <c r="N11" s="4">
        <v>2.5535174930848483</v>
      </c>
      <c r="P11" s="4">
        <f>M11-M11</f>
        <v>0</v>
      </c>
      <c r="Q11" s="4">
        <f t="shared" si="6"/>
        <v>0</v>
      </c>
      <c r="S11" s="4">
        <f t="shared" si="3"/>
        <v>6.1284419834036363</v>
      </c>
      <c r="T11" s="4">
        <f t="shared" si="4"/>
        <v>8.8934000629859775E-2</v>
      </c>
    </row>
    <row r="12" spans="1:36" x14ac:dyDescent="0.2">
      <c r="A12" t="s">
        <v>3</v>
      </c>
      <c r="B12" t="s">
        <v>11</v>
      </c>
      <c r="C12" t="s">
        <v>8</v>
      </c>
      <c r="D12" t="s">
        <v>37</v>
      </c>
      <c r="E12" t="s">
        <v>16</v>
      </c>
      <c r="F12">
        <v>1</v>
      </c>
      <c r="G12" s="1">
        <v>44395</v>
      </c>
      <c r="H12" s="2">
        <v>0.66666666666666663</v>
      </c>
      <c r="I12" s="2">
        <f t="shared" si="0"/>
        <v>44395.666666666664</v>
      </c>
      <c r="J12" s="3">
        <f t="shared" si="5"/>
        <v>1.0104166666642413</v>
      </c>
      <c r="K12">
        <v>68.91</v>
      </c>
      <c r="L12">
        <v>3.65</v>
      </c>
      <c r="M12" s="4">
        <v>3455.0088433357932</v>
      </c>
      <c r="N12" s="4">
        <v>69.10017686671587</v>
      </c>
      <c r="P12" s="4">
        <f>M12-M11</f>
        <v>3327.3329686815509</v>
      </c>
      <c r="Q12" s="4">
        <f t="shared" si="6"/>
        <v>176.24097134940735</v>
      </c>
      <c r="S12" s="4">
        <f t="shared" si="3"/>
        <v>151.32938733810772</v>
      </c>
      <c r="T12" s="4">
        <f t="shared" si="4"/>
        <v>2.196043931767635</v>
      </c>
    </row>
    <row r="13" spans="1:36" x14ac:dyDescent="0.2">
      <c r="A13" t="s">
        <v>3</v>
      </c>
      <c r="B13" t="s">
        <v>11</v>
      </c>
      <c r="C13" t="s">
        <v>8</v>
      </c>
      <c r="D13" t="s">
        <v>37</v>
      </c>
      <c r="E13" t="s">
        <v>16</v>
      </c>
      <c r="F13">
        <v>2</v>
      </c>
      <c r="G13" s="1">
        <v>44396</v>
      </c>
      <c r="H13" s="2">
        <v>0.81944444444444453</v>
      </c>
      <c r="I13" s="2">
        <f t="shared" si="0"/>
        <v>44396.819444444445</v>
      </c>
      <c r="J13" s="3">
        <f t="shared" si="5"/>
        <v>2.1631944444452529</v>
      </c>
      <c r="K13">
        <v>68.91</v>
      </c>
      <c r="L13">
        <v>3.4</v>
      </c>
      <c r="M13" s="4">
        <v>6190.6840316808684</v>
      </c>
      <c r="N13" s="4">
        <v>123.81368063361737</v>
      </c>
      <c r="P13" s="4">
        <f>M13-M11</f>
        <v>6063.0081570266257</v>
      </c>
      <c r="Q13" s="4">
        <f t="shared" si="6"/>
        <v>299.14711556944604</v>
      </c>
      <c r="S13" s="4">
        <f t="shared" si="3"/>
        <v>252.57990849257945</v>
      </c>
      <c r="T13" s="4">
        <f t="shared" si="4"/>
        <v>3.6653592873687342</v>
      </c>
    </row>
    <row r="14" spans="1:36" x14ac:dyDescent="0.2">
      <c r="A14" t="s">
        <v>3</v>
      </c>
      <c r="B14" t="s">
        <v>11</v>
      </c>
      <c r="C14" t="s">
        <v>8</v>
      </c>
      <c r="D14" t="s">
        <v>37</v>
      </c>
      <c r="E14" t="s">
        <v>16</v>
      </c>
      <c r="F14">
        <v>3</v>
      </c>
      <c r="G14" s="1">
        <v>44397</v>
      </c>
      <c r="H14" s="2">
        <v>0.58333333333333337</v>
      </c>
      <c r="I14" s="2">
        <f t="shared" si="0"/>
        <v>44397.583333333336</v>
      </c>
      <c r="J14" s="3">
        <f t="shared" si="5"/>
        <v>2.9270833333357587</v>
      </c>
      <c r="K14">
        <v>68.91</v>
      </c>
      <c r="L14">
        <v>3.15</v>
      </c>
      <c r="M14" s="4">
        <v>7475.4831772275857</v>
      </c>
      <c r="N14" s="4">
        <v>149.5096635445517</v>
      </c>
      <c r="O14" s="15">
        <v>36.93</v>
      </c>
      <c r="P14" s="4">
        <f>M14-M11</f>
        <v>7347.8073025733429</v>
      </c>
      <c r="Q14" s="4">
        <f t="shared" si="6"/>
        <v>335.88148313896431</v>
      </c>
      <c r="R14" s="4">
        <f>P14/O14</f>
        <v>198.96580835562801</v>
      </c>
      <c r="S14" s="4">
        <f t="shared" si="3"/>
        <v>282.57326409920273</v>
      </c>
      <c r="T14" s="4">
        <f t="shared" si="4"/>
        <v>4.1006133231635866</v>
      </c>
      <c r="U14" s="4">
        <v>451.78308000000004</v>
      </c>
      <c r="V14" s="4">
        <v>302.42310000000003</v>
      </c>
      <c r="W14" s="4">
        <f>U14-V14</f>
        <v>149.35998000000001</v>
      </c>
      <c r="X14" s="5">
        <v>123</v>
      </c>
      <c r="Y14" s="4">
        <v>3.2016009851042373</v>
      </c>
      <c r="Z14" s="4">
        <v>0.17303180435786239</v>
      </c>
      <c r="AA14" s="4">
        <v>0.11081606082360199</v>
      </c>
      <c r="AB14" s="4">
        <v>0.19464668194067808</v>
      </c>
      <c r="AC14" s="4">
        <v>1.9091887673079875</v>
      </c>
      <c r="AD14" s="4">
        <v>7.0210610265561675</v>
      </c>
      <c r="AE14" s="4">
        <v>6.5457393803719466</v>
      </c>
      <c r="AF14" s="4">
        <v>0.37142338908224887</v>
      </c>
      <c r="AG14" s="4">
        <v>0</v>
      </c>
      <c r="AH14" s="4">
        <v>0</v>
      </c>
      <c r="AI14" s="4">
        <v>9.3553480786903717E-2</v>
      </c>
      <c r="AJ14" s="4">
        <v>0.78268991520330933</v>
      </c>
    </row>
    <row r="15" spans="1:36" x14ac:dyDescent="0.2">
      <c r="A15" t="s">
        <v>2</v>
      </c>
      <c r="B15" t="s">
        <v>12</v>
      </c>
      <c r="C15" t="s">
        <v>8</v>
      </c>
      <c r="D15" t="s">
        <v>38</v>
      </c>
      <c r="E15" t="s">
        <v>15</v>
      </c>
      <c r="F15">
        <v>0</v>
      </c>
      <c r="G15" s="1">
        <v>44370</v>
      </c>
      <c r="H15" s="2">
        <v>0.6875</v>
      </c>
      <c r="I15" s="2">
        <f t="shared" si="0"/>
        <v>44370.6875</v>
      </c>
      <c r="J15" s="3">
        <f t="shared" ref="J15:J26" si="7">I15 - $I$15</f>
        <v>0</v>
      </c>
      <c r="K15">
        <v>51.57</v>
      </c>
      <c r="L15">
        <v>4</v>
      </c>
      <c r="M15" s="16">
        <v>129.30842422128606</v>
      </c>
      <c r="N15" s="16">
        <v>1.1470931220600866</v>
      </c>
      <c r="O15" s="16"/>
      <c r="P15" s="16"/>
      <c r="Q15" s="16"/>
      <c r="R15" s="16"/>
      <c r="S15" s="4">
        <f t="shared" si="3"/>
        <v>6.20680436262173</v>
      </c>
      <c r="T15" s="4">
        <f t="shared" si="4"/>
        <v>0.12035688118327961</v>
      </c>
    </row>
    <row r="16" spans="1:36" x14ac:dyDescent="0.2">
      <c r="A16" t="s">
        <v>2</v>
      </c>
      <c r="B16" t="s">
        <v>12</v>
      </c>
      <c r="C16" t="s">
        <v>8</v>
      </c>
      <c r="D16" t="s">
        <v>38</v>
      </c>
      <c r="E16" t="s">
        <v>15</v>
      </c>
      <c r="F16">
        <v>1</v>
      </c>
      <c r="G16" s="1">
        <v>44371</v>
      </c>
      <c r="H16" s="2">
        <v>0.66666666666666663</v>
      </c>
      <c r="I16" s="2">
        <f t="shared" si="0"/>
        <v>44371.666666666664</v>
      </c>
      <c r="J16" s="3">
        <f t="shared" si="7"/>
        <v>0.97916666666424135</v>
      </c>
      <c r="K16">
        <v>51.57</v>
      </c>
      <c r="L16">
        <v>3.8</v>
      </c>
      <c r="M16" s="16">
        <v>318.94110953058322</v>
      </c>
      <c r="N16" s="16">
        <v>3.8986427935690946</v>
      </c>
      <c r="O16" s="16"/>
      <c r="P16" s="16"/>
      <c r="Q16" s="16"/>
      <c r="R16" s="16"/>
      <c r="S16" s="4">
        <f t="shared" si="3"/>
        <v>14.543714594594595</v>
      </c>
      <c r="T16" s="4">
        <f t="shared" si="4"/>
        <v>0.28201889847963146</v>
      </c>
    </row>
    <row r="17" spans="1:20" x14ac:dyDescent="0.2">
      <c r="A17" t="s">
        <v>2</v>
      </c>
      <c r="B17" t="s">
        <v>12</v>
      </c>
      <c r="C17" t="s">
        <v>8</v>
      </c>
      <c r="D17" t="s">
        <v>38</v>
      </c>
      <c r="E17" t="s">
        <v>15</v>
      </c>
      <c r="F17">
        <v>2</v>
      </c>
      <c r="G17" s="1">
        <v>44372</v>
      </c>
      <c r="H17" s="2">
        <v>0.5625</v>
      </c>
      <c r="I17" s="2">
        <f t="shared" si="0"/>
        <v>44372.5625</v>
      </c>
      <c r="J17" s="3">
        <f t="shared" si="7"/>
        <v>1.875</v>
      </c>
      <c r="K17">
        <v>51.57</v>
      </c>
      <c r="L17">
        <v>3.6</v>
      </c>
      <c r="M17" s="16">
        <v>449.88479289765479</v>
      </c>
      <c r="N17" s="16">
        <v>6.4254525631149626</v>
      </c>
      <c r="O17" s="16"/>
      <c r="P17" s="16"/>
      <c r="Q17" s="16"/>
      <c r="R17" s="16"/>
      <c r="S17" s="4">
        <f t="shared" si="3"/>
        <v>19.435023053178689</v>
      </c>
      <c r="T17" s="4">
        <f t="shared" si="4"/>
        <v>0.37686684221793076</v>
      </c>
    </row>
    <row r="18" spans="1:20" x14ac:dyDescent="0.2">
      <c r="A18" t="s">
        <v>2</v>
      </c>
      <c r="B18" t="s">
        <v>12</v>
      </c>
      <c r="C18" t="s">
        <v>8</v>
      </c>
      <c r="D18" t="s">
        <v>38</v>
      </c>
      <c r="E18" t="s">
        <v>15</v>
      </c>
      <c r="F18">
        <v>3</v>
      </c>
      <c r="G18" s="1">
        <v>44375</v>
      </c>
      <c r="H18" s="2">
        <v>0.54166666666666663</v>
      </c>
      <c r="I18" s="2">
        <f t="shared" si="0"/>
        <v>44375.541666666664</v>
      </c>
      <c r="J18" s="3">
        <f t="shared" si="7"/>
        <v>4.8541666666642413</v>
      </c>
      <c r="K18">
        <v>51.57</v>
      </c>
      <c r="L18">
        <v>3.4</v>
      </c>
      <c r="M18" s="16">
        <v>1144.8714423076922</v>
      </c>
      <c r="N18" s="16">
        <v>18.23972876599148</v>
      </c>
      <c r="O18" s="16"/>
      <c r="P18" s="16"/>
      <c r="Q18" s="16"/>
      <c r="R18" s="16"/>
      <c r="S18" s="4">
        <f t="shared" si="3"/>
        <v>46.710754846153847</v>
      </c>
      <c r="T18" s="4">
        <f t="shared" si="4"/>
        <v>0.90577379961516091</v>
      </c>
    </row>
    <row r="19" spans="1:20" x14ac:dyDescent="0.2">
      <c r="A19" t="s">
        <v>2</v>
      </c>
      <c r="B19" t="s">
        <v>12</v>
      </c>
      <c r="C19" t="s">
        <v>8</v>
      </c>
      <c r="D19" t="s">
        <v>38</v>
      </c>
      <c r="E19" t="s">
        <v>15</v>
      </c>
      <c r="F19">
        <v>4</v>
      </c>
      <c r="G19" s="1">
        <v>44377</v>
      </c>
      <c r="H19" s="2">
        <v>0.66666666666666663</v>
      </c>
      <c r="I19" s="2">
        <f t="shared" si="0"/>
        <v>44377.666666666664</v>
      </c>
      <c r="J19" s="3">
        <f t="shared" si="7"/>
        <v>6.9791666666642413</v>
      </c>
      <c r="K19">
        <v>51.57</v>
      </c>
      <c r="L19">
        <v>3.2</v>
      </c>
      <c r="M19" s="16">
        <v>1377.1791346153848</v>
      </c>
      <c r="N19" s="16">
        <v>3.3723554179664132</v>
      </c>
      <c r="O19" s="16"/>
      <c r="P19" s="16"/>
      <c r="Q19" s="16"/>
      <c r="R19" s="16"/>
      <c r="S19" s="4">
        <f t="shared" si="3"/>
        <v>52.883678769230784</v>
      </c>
      <c r="T19" s="4">
        <f t="shared" si="4"/>
        <v>1.0254737011679422</v>
      </c>
    </row>
    <row r="20" spans="1:20" x14ac:dyDescent="0.2">
      <c r="A20" t="s">
        <v>2</v>
      </c>
      <c r="B20" t="s">
        <v>12</v>
      </c>
      <c r="C20" t="s">
        <v>8</v>
      </c>
      <c r="D20" t="s">
        <v>38</v>
      </c>
      <c r="E20" t="s">
        <v>15</v>
      </c>
      <c r="F20">
        <v>5</v>
      </c>
      <c r="G20" s="1">
        <v>44379</v>
      </c>
      <c r="H20" s="2">
        <v>0.45833333333333331</v>
      </c>
      <c r="I20" s="2">
        <f t="shared" si="0"/>
        <v>44379.458333333336</v>
      </c>
      <c r="J20" s="3">
        <f t="shared" si="7"/>
        <v>8.7708333333357587</v>
      </c>
      <c r="K20">
        <v>51.57</v>
      </c>
      <c r="L20">
        <v>2</v>
      </c>
      <c r="M20" s="16">
        <v>1786.5381089743589</v>
      </c>
      <c r="N20" s="16">
        <v>10.515947002261509</v>
      </c>
      <c r="O20" s="16"/>
      <c r="P20" s="16"/>
      <c r="Q20" s="16"/>
      <c r="R20" s="16"/>
      <c r="S20" s="4">
        <f t="shared" si="3"/>
        <v>42.876914615384614</v>
      </c>
      <c r="T20" s="4">
        <f t="shared" si="4"/>
        <v>0.8314313479810862</v>
      </c>
    </row>
    <row r="21" spans="1:20" x14ac:dyDescent="0.2">
      <c r="A21" t="s">
        <v>1</v>
      </c>
      <c r="B21" t="s">
        <v>12</v>
      </c>
      <c r="C21" t="s">
        <v>8</v>
      </c>
      <c r="D21" t="s">
        <v>38</v>
      </c>
      <c r="E21" t="s">
        <v>16</v>
      </c>
      <c r="F21">
        <v>0</v>
      </c>
      <c r="G21" s="1">
        <v>44370</v>
      </c>
      <c r="H21" s="2">
        <v>0.6875</v>
      </c>
      <c r="I21" s="2">
        <f t="shared" si="0"/>
        <v>44370.6875</v>
      </c>
      <c r="J21" s="3">
        <f t="shared" si="7"/>
        <v>0</v>
      </c>
      <c r="K21">
        <v>53.26</v>
      </c>
      <c r="L21">
        <v>4</v>
      </c>
      <c r="M21" s="16">
        <v>122.34688575974761</v>
      </c>
      <c r="N21" s="16">
        <v>0.84318147706117208</v>
      </c>
      <c r="O21" s="16"/>
      <c r="P21" s="16"/>
      <c r="Q21" s="16"/>
      <c r="R21" s="16"/>
      <c r="S21" s="4">
        <f t="shared" si="3"/>
        <v>5.8726505164678846</v>
      </c>
      <c r="T21" s="4">
        <f t="shared" si="4"/>
        <v>0.11026380992241616</v>
      </c>
    </row>
    <row r="22" spans="1:20" x14ac:dyDescent="0.2">
      <c r="A22" t="s">
        <v>1</v>
      </c>
      <c r="B22" t="s">
        <v>12</v>
      </c>
      <c r="C22" t="s">
        <v>8</v>
      </c>
      <c r="D22" t="s">
        <v>38</v>
      </c>
      <c r="E22" t="s">
        <v>16</v>
      </c>
      <c r="F22">
        <v>1</v>
      </c>
      <c r="G22" s="1">
        <v>44371</v>
      </c>
      <c r="H22" s="2">
        <v>0.66666666666666663</v>
      </c>
      <c r="I22" s="2">
        <f t="shared" si="0"/>
        <v>44371.666666666664</v>
      </c>
      <c r="J22" s="3">
        <f t="shared" si="7"/>
        <v>0.97916666666424135</v>
      </c>
      <c r="K22">
        <v>53.26</v>
      </c>
      <c r="L22">
        <v>3.8</v>
      </c>
      <c r="M22" s="16">
        <v>305.44561403508771</v>
      </c>
      <c r="N22" s="16">
        <v>0.91732771613389508</v>
      </c>
      <c r="O22" s="16"/>
      <c r="P22" s="16"/>
      <c r="Q22" s="16"/>
      <c r="R22" s="16"/>
      <c r="S22" s="4">
        <f t="shared" si="3"/>
        <v>13.928320000000001</v>
      </c>
      <c r="T22" s="4">
        <f t="shared" si="4"/>
        <v>0.26151558392790092</v>
      </c>
    </row>
    <row r="23" spans="1:20" x14ac:dyDescent="0.2">
      <c r="A23" t="s">
        <v>1</v>
      </c>
      <c r="B23" t="s">
        <v>12</v>
      </c>
      <c r="C23" t="s">
        <v>8</v>
      </c>
      <c r="D23" t="s">
        <v>38</v>
      </c>
      <c r="E23" t="s">
        <v>16</v>
      </c>
      <c r="F23">
        <v>2</v>
      </c>
      <c r="G23" s="1">
        <v>44372</v>
      </c>
      <c r="H23" s="2">
        <v>0.5625</v>
      </c>
      <c r="I23" s="2">
        <f t="shared" si="0"/>
        <v>44372.5625</v>
      </c>
      <c r="J23" s="3">
        <f t="shared" si="7"/>
        <v>1.875</v>
      </c>
      <c r="K23">
        <v>53.26</v>
      </c>
      <c r="L23">
        <v>3.6</v>
      </c>
      <c r="M23" s="16">
        <v>439.60551361837543</v>
      </c>
      <c r="N23" s="16">
        <v>7.6867691070311839</v>
      </c>
      <c r="O23" s="16"/>
      <c r="P23" s="16"/>
      <c r="Q23" s="16"/>
      <c r="R23" s="16"/>
      <c r="S23" s="4">
        <f t="shared" si="3"/>
        <v>18.990958188313819</v>
      </c>
      <c r="T23" s="4">
        <f t="shared" si="4"/>
        <v>0.35657075081325235</v>
      </c>
    </row>
    <row r="24" spans="1:20" x14ac:dyDescent="0.2">
      <c r="A24" t="s">
        <v>1</v>
      </c>
      <c r="B24" t="s">
        <v>12</v>
      </c>
      <c r="C24" t="s">
        <v>8</v>
      </c>
      <c r="D24" t="s">
        <v>38</v>
      </c>
      <c r="E24" t="s">
        <v>16</v>
      </c>
      <c r="F24">
        <v>3</v>
      </c>
      <c r="G24" s="1">
        <v>44375</v>
      </c>
      <c r="H24" s="2">
        <v>0.54166666666666663</v>
      </c>
      <c r="I24" s="2">
        <f t="shared" si="0"/>
        <v>44375.541666666664</v>
      </c>
      <c r="J24" s="3">
        <f t="shared" si="7"/>
        <v>4.8541666666642413</v>
      </c>
      <c r="K24">
        <v>53.26</v>
      </c>
      <c r="L24">
        <v>3.4</v>
      </c>
      <c r="M24" s="16">
        <v>979.40990384615361</v>
      </c>
      <c r="N24" s="16">
        <v>14.359706941019089</v>
      </c>
      <c r="O24" s="16"/>
      <c r="P24" s="16"/>
      <c r="Q24" s="16"/>
      <c r="R24" s="16"/>
      <c r="S24" s="4">
        <f t="shared" si="3"/>
        <v>39.959924076923066</v>
      </c>
      <c r="T24" s="4">
        <f t="shared" si="4"/>
        <v>0.75028021173344095</v>
      </c>
    </row>
    <row r="25" spans="1:20" x14ac:dyDescent="0.2">
      <c r="A25" t="s">
        <v>1</v>
      </c>
      <c r="B25" t="s">
        <v>12</v>
      </c>
      <c r="C25" t="s">
        <v>8</v>
      </c>
      <c r="D25" t="s">
        <v>38</v>
      </c>
      <c r="E25" t="s">
        <v>16</v>
      </c>
      <c r="F25">
        <v>4</v>
      </c>
      <c r="G25" s="1">
        <v>44377</v>
      </c>
      <c r="H25" s="2">
        <v>0.66666666666666663</v>
      </c>
      <c r="I25" s="2">
        <f t="shared" si="0"/>
        <v>44377.666666666664</v>
      </c>
      <c r="J25" s="3">
        <f t="shared" si="7"/>
        <v>6.9791666666642413</v>
      </c>
      <c r="K25">
        <v>53.26</v>
      </c>
      <c r="L25">
        <v>3.2</v>
      </c>
      <c r="M25" s="16">
        <v>1327.0509294871797</v>
      </c>
      <c r="N25" s="16">
        <v>9.5006141882500401</v>
      </c>
      <c r="O25" s="16"/>
      <c r="P25" s="16"/>
      <c r="Q25" s="16"/>
      <c r="R25" s="16"/>
      <c r="S25" s="4">
        <f t="shared" si="3"/>
        <v>50.958755692307705</v>
      </c>
      <c r="T25" s="4">
        <f t="shared" si="4"/>
        <v>0.95679225858632566</v>
      </c>
    </row>
    <row r="26" spans="1:20" x14ac:dyDescent="0.2">
      <c r="A26" t="s">
        <v>1</v>
      </c>
      <c r="B26" t="s">
        <v>12</v>
      </c>
      <c r="C26" t="s">
        <v>8</v>
      </c>
      <c r="D26" t="s">
        <v>38</v>
      </c>
      <c r="E26" t="s">
        <v>16</v>
      </c>
      <c r="F26">
        <v>5</v>
      </c>
      <c r="G26" s="1">
        <v>44379</v>
      </c>
      <c r="H26" s="2">
        <v>0.45833333333333331</v>
      </c>
      <c r="I26" s="2">
        <f t="shared" si="0"/>
        <v>44379.458333333336</v>
      </c>
      <c r="J26" s="3">
        <f t="shared" si="7"/>
        <v>8.7708333333357587</v>
      </c>
      <c r="K26">
        <v>53.26</v>
      </c>
      <c r="L26">
        <v>2</v>
      </c>
      <c r="M26" s="16">
        <v>1824.9996474358975</v>
      </c>
      <c r="N26" s="16">
        <v>47.503070941250201</v>
      </c>
      <c r="O26" s="16"/>
      <c r="P26" s="16"/>
      <c r="Q26" s="16"/>
      <c r="R26" s="16"/>
      <c r="S26" s="4">
        <f t="shared" si="3"/>
        <v>43.799991538461541</v>
      </c>
      <c r="T26" s="4">
        <f t="shared" si="4"/>
        <v>0.82238061469135448</v>
      </c>
    </row>
    <row r="27" spans="1:20" x14ac:dyDescent="0.2">
      <c r="A27" t="s">
        <v>0</v>
      </c>
      <c r="B27" t="s">
        <v>13</v>
      </c>
      <c r="C27" t="s">
        <v>7</v>
      </c>
      <c r="D27" t="s">
        <v>38</v>
      </c>
      <c r="E27" t="s">
        <v>15</v>
      </c>
      <c r="F27">
        <v>0</v>
      </c>
      <c r="G27" s="1">
        <v>44420</v>
      </c>
      <c r="H27" s="2">
        <v>0.49305555555555558</v>
      </c>
      <c r="I27" s="2">
        <f t="shared" si="0"/>
        <v>44420.493055555555</v>
      </c>
      <c r="J27" s="3">
        <f>I27 - $I$27</f>
        <v>0</v>
      </c>
      <c r="K27">
        <f>33.86+51.56+32.18+33.04</f>
        <v>150.63999999999999</v>
      </c>
      <c r="L27">
        <v>7.82</v>
      </c>
      <c r="M27" s="4">
        <v>47.044558488106873</v>
      </c>
      <c r="N27" s="4">
        <v>0.51448988021817499</v>
      </c>
      <c r="S27" s="4">
        <f t="shared" si="3"/>
        <v>4.4146613685239489</v>
      </c>
      <c r="T27" s="4">
        <f t="shared" si="4"/>
        <v>2.9306036700238642E-2</v>
      </c>
    </row>
    <row r="28" spans="1:20" x14ac:dyDescent="0.2">
      <c r="A28" t="s">
        <v>0</v>
      </c>
      <c r="B28" t="s">
        <v>13</v>
      </c>
      <c r="C28" t="s">
        <v>7</v>
      </c>
      <c r="D28" t="s">
        <v>38</v>
      </c>
      <c r="E28" t="s">
        <v>15</v>
      </c>
      <c r="F28">
        <v>1</v>
      </c>
      <c r="G28" s="1">
        <v>44420</v>
      </c>
      <c r="H28" s="2">
        <v>0.96180555555555547</v>
      </c>
      <c r="I28" s="2">
        <f t="shared" si="0"/>
        <v>44420.961805555555</v>
      </c>
      <c r="J28" s="3">
        <f>I28 - $I$27</f>
        <v>0.46875</v>
      </c>
      <c r="K28">
        <f t="shared" ref="K28:K31" si="8">33.86+51.56+32.18+33.04</f>
        <v>150.63999999999999</v>
      </c>
      <c r="L28">
        <v>7.47</v>
      </c>
      <c r="M28" s="4">
        <v>190.3581785597915</v>
      </c>
      <c r="N28" s="4">
        <v>0.93774017576711066</v>
      </c>
      <c r="S28" s="4">
        <f t="shared" si="3"/>
        <v>17.063707126099711</v>
      </c>
      <c r="T28" s="4">
        <f t="shared" si="4"/>
        <v>0.11327474194171344</v>
      </c>
    </row>
    <row r="29" spans="1:20" x14ac:dyDescent="0.2">
      <c r="A29" t="s">
        <v>0</v>
      </c>
      <c r="B29" t="s">
        <v>13</v>
      </c>
      <c r="C29" t="s">
        <v>7</v>
      </c>
      <c r="D29" t="s">
        <v>38</v>
      </c>
      <c r="E29" t="s">
        <v>15</v>
      </c>
      <c r="F29">
        <v>2</v>
      </c>
      <c r="G29" s="1">
        <v>44421</v>
      </c>
      <c r="H29" s="2">
        <v>0.51736111111111105</v>
      </c>
      <c r="I29" s="2">
        <f t="shared" si="0"/>
        <v>44421.517361111109</v>
      </c>
      <c r="J29" s="3">
        <f t="shared" ref="J29:J31" si="9">I29 - $I$27</f>
        <v>1.0243055555547471</v>
      </c>
      <c r="K29">
        <f t="shared" si="8"/>
        <v>150.63999999999999</v>
      </c>
      <c r="L29">
        <v>7.16</v>
      </c>
      <c r="M29" s="4">
        <v>295.75244379276637</v>
      </c>
      <c r="N29" s="4">
        <v>1.216527795589738</v>
      </c>
      <c r="S29" s="4">
        <f t="shared" si="3"/>
        <v>25.41104997067449</v>
      </c>
      <c r="T29" s="4">
        <f t="shared" si="4"/>
        <v>0.16868726746331977</v>
      </c>
    </row>
    <row r="30" spans="1:20" x14ac:dyDescent="0.2">
      <c r="A30" t="s">
        <v>0</v>
      </c>
      <c r="B30" t="s">
        <v>13</v>
      </c>
      <c r="C30" t="s">
        <v>7</v>
      </c>
      <c r="D30" t="s">
        <v>38</v>
      </c>
      <c r="E30" t="s">
        <v>15</v>
      </c>
      <c r="F30">
        <v>3</v>
      </c>
      <c r="G30" s="1">
        <v>44421</v>
      </c>
      <c r="H30" s="2">
        <v>0.94791666666666663</v>
      </c>
      <c r="I30" s="2">
        <f t="shared" si="0"/>
        <v>44421.947916666664</v>
      </c>
      <c r="J30" s="3">
        <f t="shared" si="9"/>
        <v>1.4548611111094942</v>
      </c>
      <c r="K30">
        <f t="shared" si="8"/>
        <v>150.63999999999999</v>
      </c>
      <c r="L30">
        <v>6.75</v>
      </c>
      <c r="M30" s="4">
        <v>400.03559791463016</v>
      </c>
      <c r="N30" s="4">
        <v>1.4953154154123653</v>
      </c>
      <c r="S30" s="4">
        <f t="shared" si="3"/>
        <v>32.402883431085044</v>
      </c>
      <c r="T30" s="4">
        <f t="shared" si="4"/>
        <v>0.21510145665882266</v>
      </c>
    </row>
    <row r="31" spans="1:20" x14ac:dyDescent="0.2">
      <c r="A31" t="s">
        <v>0</v>
      </c>
      <c r="B31" t="s">
        <v>13</v>
      </c>
      <c r="C31" t="s">
        <v>7</v>
      </c>
      <c r="D31" t="s">
        <v>38</v>
      </c>
      <c r="E31" t="s">
        <v>15</v>
      </c>
      <c r="F31">
        <v>4</v>
      </c>
      <c r="G31" s="1">
        <v>44422</v>
      </c>
      <c r="H31" s="2">
        <v>0.54861111111111105</v>
      </c>
      <c r="I31" s="2">
        <f t="shared" si="0"/>
        <v>44422.548611111109</v>
      </c>
      <c r="J31" s="3">
        <f t="shared" si="9"/>
        <v>2.0555555555547471</v>
      </c>
      <c r="K31">
        <f t="shared" si="8"/>
        <v>150.63999999999999</v>
      </c>
      <c r="L31">
        <v>6.43</v>
      </c>
      <c r="M31" s="4">
        <v>478.92448680351913</v>
      </c>
      <c r="N31" s="4">
        <v>2.1542679713568487</v>
      </c>
      <c r="S31" s="4">
        <f t="shared" si="3"/>
        <v>36.953813401759533</v>
      </c>
      <c r="T31" s="4">
        <f t="shared" si="4"/>
        <v>0.24531209108974733</v>
      </c>
    </row>
    <row r="32" spans="1:20" x14ac:dyDescent="0.2">
      <c r="A32" t="s">
        <v>17</v>
      </c>
      <c r="B32" t="s">
        <v>13</v>
      </c>
      <c r="C32" t="s">
        <v>8</v>
      </c>
      <c r="D32" t="s">
        <v>38</v>
      </c>
      <c r="E32" t="s">
        <v>15</v>
      </c>
      <c r="F32">
        <v>0</v>
      </c>
      <c r="G32" s="1">
        <v>44422</v>
      </c>
      <c r="H32" s="2">
        <v>0.78125</v>
      </c>
      <c r="I32" s="2">
        <f t="shared" si="0"/>
        <v>44422.78125</v>
      </c>
      <c r="J32" s="3">
        <f t="shared" ref="J32:J43" si="10">I32 - $I$32</f>
        <v>0</v>
      </c>
      <c r="K32">
        <v>30.31</v>
      </c>
      <c r="L32">
        <v>3</v>
      </c>
      <c r="M32" s="4">
        <v>46.315167807103293</v>
      </c>
      <c r="N32" s="4">
        <v>0.51702431312564467</v>
      </c>
      <c r="P32" s="4">
        <f>M32-M40</f>
        <v>7.3387096774193594</v>
      </c>
      <c r="Q32" s="4">
        <f>P32*L32/K32</f>
        <v>0.72636519406988054</v>
      </c>
      <c r="S32" s="4">
        <f t="shared" si="3"/>
        <v>1.6673460410557186</v>
      </c>
      <c r="T32" s="4">
        <f t="shared" si="4"/>
        <v>5.500976710840378E-2</v>
      </c>
    </row>
    <row r="33" spans="1:36" x14ac:dyDescent="0.2">
      <c r="A33" t="s">
        <v>17</v>
      </c>
      <c r="B33" t="s">
        <v>13</v>
      </c>
      <c r="C33" t="s">
        <v>8</v>
      </c>
      <c r="D33" t="s">
        <v>38</v>
      </c>
      <c r="E33" t="s">
        <v>15</v>
      </c>
      <c r="F33">
        <v>1</v>
      </c>
      <c r="G33" s="1">
        <v>44423</v>
      </c>
      <c r="H33" s="2">
        <v>0.78125</v>
      </c>
      <c r="I33" s="2">
        <f t="shared" si="0"/>
        <v>44423.78125</v>
      </c>
      <c r="J33" s="3">
        <f t="shared" si="10"/>
        <v>1</v>
      </c>
      <c r="K33">
        <v>30.31</v>
      </c>
      <c r="L33">
        <f>L32-0.4</f>
        <v>2.6</v>
      </c>
      <c r="M33" s="4">
        <v>202.5624796350603</v>
      </c>
      <c r="N33" s="4">
        <v>2.4837442493290904</v>
      </c>
      <c r="P33" s="4">
        <f t="shared" ref="P33:P35" si="11">M33-M41</f>
        <v>159.28136200716847</v>
      </c>
      <c r="Q33" s="4">
        <f t="shared" ref="Q33:Q39" si="12">P33*L33/K33</f>
        <v>13.663198324600396</v>
      </c>
      <c r="S33" s="4">
        <f t="shared" si="3"/>
        <v>6.3199493646138825</v>
      </c>
      <c r="T33" s="4">
        <f t="shared" si="4"/>
        <v>0.20851037164677938</v>
      </c>
    </row>
    <row r="34" spans="1:36" x14ac:dyDescent="0.2">
      <c r="A34" t="s">
        <v>17</v>
      </c>
      <c r="B34" t="s">
        <v>13</v>
      </c>
      <c r="C34" t="s">
        <v>8</v>
      </c>
      <c r="D34" t="s">
        <v>38</v>
      </c>
      <c r="E34" t="s">
        <v>15</v>
      </c>
      <c r="F34">
        <v>2</v>
      </c>
      <c r="G34" s="1">
        <v>44424</v>
      </c>
      <c r="H34" s="2">
        <v>0.80208333333333337</v>
      </c>
      <c r="I34" s="2">
        <f t="shared" si="0"/>
        <v>44424.802083333336</v>
      </c>
      <c r="J34" s="3">
        <f t="shared" si="10"/>
        <v>2.0208333333357587</v>
      </c>
      <c r="K34">
        <v>30.31</v>
      </c>
      <c r="L34">
        <f>L33-0.3</f>
        <v>2.3000000000000003</v>
      </c>
      <c r="M34" s="4">
        <v>329.85638644509618</v>
      </c>
      <c r="N34" s="4">
        <v>4.131125639190258</v>
      </c>
      <c r="P34" s="4">
        <f t="shared" si="11"/>
        <v>270.93010752688178</v>
      </c>
      <c r="Q34" s="4">
        <f t="shared" si="12"/>
        <v>20.55886662196728</v>
      </c>
      <c r="S34" s="4">
        <f t="shared" si="3"/>
        <v>9.1040362658846554</v>
      </c>
      <c r="T34" s="4">
        <f t="shared" si="4"/>
        <v>0.30036411302819715</v>
      </c>
    </row>
    <row r="35" spans="1:36" x14ac:dyDescent="0.2">
      <c r="A35" t="s">
        <v>17</v>
      </c>
      <c r="B35" t="s">
        <v>13</v>
      </c>
      <c r="C35" t="s">
        <v>8</v>
      </c>
      <c r="D35" t="s">
        <v>38</v>
      </c>
      <c r="E35" t="s">
        <v>15</v>
      </c>
      <c r="F35">
        <v>3</v>
      </c>
      <c r="G35" s="1">
        <v>44425</v>
      </c>
      <c r="H35" s="2">
        <v>0.78125</v>
      </c>
      <c r="I35" s="2">
        <f t="shared" si="0"/>
        <v>44425.78125</v>
      </c>
      <c r="J35" s="3">
        <f t="shared" si="10"/>
        <v>3</v>
      </c>
      <c r="K35">
        <v>30.31</v>
      </c>
      <c r="L35">
        <f>L34-0.35</f>
        <v>1.9500000000000002</v>
      </c>
      <c r="M35" s="4">
        <v>444.28290974258715</v>
      </c>
      <c r="N35" s="4">
        <v>4.1564699682649549</v>
      </c>
      <c r="O35" s="15">
        <v>14.15</v>
      </c>
      <c r="P35" s="4">
        <f t="shared" si="11"/>
        <v>375.17921146953404</v>
      </c>
      <c r="Q35" s="4">
        <f t="shared" si="12"/>
        <v>24.137230695004668</v>
      </c>
      <c r="R35" s="4">
        <f>P35/O35</f>
        <v>26.514431905974135</v>
      </c>
      <c r="S35" s="4">
        <f t="shared" si="3"/>
        <v>10.396220087976541</v>
      </c>
      <c r="T35" s="4">
        <f t="shared" si="4"/>
        <v>0.34299637373726632</v>
      </c>
      <c r="U35" s="4">
        <v>152.24020000000002</v>
      </c>
      <c r="V35" s="4">
        <v>165.40691999999999</v>
      </c>
      <c r="W35" s="4">
        <f>U35-V35</f>
        <v>-13.16671999999997</v>
      </c>
      <c r="X35" s="5">
        <v>84</v>
      </c>
      <c r="Y35" s="4">
        <v>2.4592656226386094</v>
      </c>
      <c r="Z35" s="4">
        <v>6.9092180270824727E-2</v>
      </c>
      <c r="AA35" s="4">
        <v>2.4035446982288104E-2</v>
      </c>
      <c r="AB35" s="4">
        <v>0.49968378284228965</v>
      </c>
      <c r="AC35" s="4">
        <v>0.28213240607387857</v>
      </c>
      <c r="AD35" s="4">
        <v>4.6541826951465533</v>
      </c>
      <c r="AE35" s="4">
        <v>4.5080575287404647</v>
      </c>
      <c r="AF35" s="4">
        <v>0.45536145230517877</v>
      </c>
      <c r="AG35" s="4">
        <v>0</v>
      </c>
      <c r="AH35" s="4">
        <v>0</v>
      </c>
      <c r="AI35" s="4">
        <v>6.5747106967820157E-2</v>
      </c>
      <c r="AJ35" s="4">
        <v>0.77636044878923771</v>
      </c>
    </row>
    <row r="36" spans="1:36" x14ac:dyDescent="0.2">
      <c r="A36" t="s">
        <v>18</v>
      </c>
      <c r="B36" t="s">
        <v>13</v>
      </c>
      <c r="C36" t="s">
        <v>8</v>
      </c>
      <c r="D36" t="s">
        <v>38</v>
      </c>
      <c r="E36" t="s">
        <v>16</v>
      </c>
      <c r="F36">
        <v>0</v>
      </c>
      <c r="G36" s="1">
        <v>44422</v>
      </c>
      <c r="H36" s="2">
        <v>0.78125</v>
      </c>
      <c r="I36" s="2">
        <f t="shared" si="0"/>
        <v>44422.78125</v>
      </c>
      <c r="J36" s="3">
        <f t="shared" si="10"/>
        <v>0</v>
      </c>
      <c r="K36">
        <v>35.200000000000003</v>
      </c>
      <c r="L36">
        <v>3</v>
      </c>
      <c r="M36" s="4">
        <v>43.040974258716204</v>
      </c>
      <c r="N36" s="4">
        <v>0.80848409748569572</v>
      </c>
      <c r="P36" s="4">
        <f>M36-M40</f>
        <v>4.0645161290322704</v>
      </c>
      <c r="Q36" s="4">
        <f t="shared" si="12"/>
        <v>0.34640762463343211</v>
      </c>
      <c r="S36" s="4">
        <f t="shared" si="3"/>
        <v>1.5494750733137834</v>
      </c>
      <c r="T36" s="4">
        <f t="shared" si="4"/>
        <v>4.4019178219141572E-2</v>
      </c>
    </row>
    <row r="37" spans="1:36" x14ac:dyDescent="0.2">
      <c r="A37" t="s">
        <v>18</v>
      </c>
      <c r="B37" t="s">
        <v>13</v>
      </c>
      <c r="C37" t="s">
        <v>8</v>
      </c>
      <c r="D37" t="s">
        <v>38</v>
      </c>
      <c r="E37" t="s">
        <v>16</v>
      </c>
      <c r="F37">
        <v>1</v>
      </c>
      <c r="G37" s="1">
        <v>44423</v>
      </c>
      <c r="H37" s="2">
        <v>0.78125</v>
      </c>
      <c r="I37" s="2">
        <f t="shared" si="0"/>
        <v>44423.78125</v>
      </c>
      <c r="J37" s="3">
        <f t="shared" si="10"/>
        <v>1</v>
      </c>
      <c r="K37">
        <v>35.200000000000003</v>
      </c>
      <c r="L37">
        <f>L36-0.4</f>
        <v>2.6</v>
      </c>
      <c r="M37" s="4">
        <v>163.08219289670902</v>
      </c>
      <c r="N37" s="4">
        <v>0.58291956872011208</v>
      </c>
      <c r="P37" s="4">
        <f t="shared" ref="P37:P39" si="13">M37-M41</f>
        <v>119.8010752688172</v>
      </c>
      <c r="Q37" s="4">
        <f t="shared" si="12"/>
        <v>8.8489430596285441</v>
      </c>
      <c r="S37" s="4">
        <f t="shared" si="3"/>
        <v>5.088164418377322</v>
      </c>
      <c r="T37" s="4">
        <f t="shared" si="4"/>
        <v>0.14455012552208299</v>
      </c>
    </row>
    <row r="38" spans="1:36" x14ac:dyDescent="0.2">
      <c r="A38" t="s">
        <v>18</v>
      </c>
      <c r="B38" t="s">
        <v>13</v>
      </c>
      <c r="C38" t="s">
        <v>8</v>
      </c>
      <c r="D38" t="s">
        <v>38</v>
      </c>
      <c r="E38" t="s">
        <v>16</v>
      </c>
      <c r="F38">
        <v>2</v>
      </c>
      <c r="G38" s="1">
        <v>44424</v>
      </c>
      <c r="H38" s="2">
        <v>0.80208333333333337</v>
      </c>
      <c r="I38" s="2">
        <f t="shared" si="0"/>
        <v>44424.802083333336</v>
      </c>
      <c r="J38" s="3">
        <f t="shared" si="10"/>
        <v>2.0208333333357587</v>
      </c>
      <c r="K38">
        <v>35.200000000000003</v>
      </c>
      <c r="L38">
        <f>L37-0.3</f>
        <v>2.3000000000000003</v>
      </c>
      <c r="M38" s="4">
        <v>286.18255131964816</v>
      </c>
      <c r="N38" s="4">
        <v>1.6727257189359652</v>
      </c>
      <c r="P38" s="4">
        <f t="shared" si="13"/>
        <v>227.25627240143376</v>
      </c>
      <c r="Q38" s="4">
        <f t="shared" si="12"/>
        <v>14.849131435320956</v>
      </c>
      <c r="S38" s="4">
        <f t="shared" si="3"/>
        <v>7.8986384164222905</v>
      </c>
      <c r="T38" s="4">
        <f t="shared" si="4"/>
        <v>0.2243931368301787</v>
      </c>
    </row>
    <row r="39" spans="1:36" x14ac:dyDescent="0.2">
      <c r="A39" t="s">
        <v>18</v>
      </c>
      <c r="B39" t="s">
        <v>13</v>
      </c>
      <c r="C39" t="s">
        <v>8</v>
      </c>
      <c r="D39" t="s">
        <v>38</v>
      </c>
      <c r="E39" t="s">
        <v>16</v>
      </c>
      <c r="F39">
        <v>3</v>
      </c>
      <c r="G39" s="1">
        <v>44425</v>
      </c>
      <c r="H39" s="2">
        <v>0.78125</v>
      </c>
      <c r="I39" s="2">
        <f t="shared" si="0"/>
        <v>44425.78125</v>
      </c>
      <c r="J39" s="3">
        <f t="shared" si="10"/>
        <v>3</v>
      </c>
      <c r="K39">
        <v>35.200000000000003</v>
      </c>
      <c r="L39">
        <f>L38-0.35</f>
        <v>1.9500000000000002</v>
      </c>
      <c r="M39" s="4">
        <v>403.9065656565657</v>
      </c>
      <c r="N39" s="4">
        <v>1.5460040735619596</v>
      </c>
      <c r="O39" s="15">
        <v>14.26</v>
      </c>
      <c r="P39" s="4">
        <f t="shared" si="13"/>
        <v>334.80286738351259</v>
      </c>
      <c r="Q39" s="4">
        <f t="shared" si="12"/>
        <v>18.547317937438908</v>
      </c>
      <c r="R39" s="4">
        <f>P39/O39</f>
        <v>23.478461948352916</v>
      </c>
      <c r="S39" s="4">
        <f t="shared" si="3"/>
        <v>9.4514136363636378</v>
      </c>
      <c r="T39" s="4">
        <f t="shared" si="4"/>
        <v>0.26850606921487608</v>
      </c>
      <c r="U39" s="4">
        <v>120.96923999999999</v>
      </c>
      <c r="V39" s="4">
        <v>113.97441999999998</v>
      </c>
      <c r="W39" s="4">
        <f>U39-V39</f>
        <v>6.9948200000000043</v>
      </c>
      <c r="X39" s="5">
        <v>60</v>
      </c>
      <c r="Y39" s="4">
        <v>1.8400134275068589</v>
      </c>
      <c r="Z39" s="4">
        <v>3.7751397467564028E-2</v>
      </c>
      <c r="AA39" s="4">
        <v>1.8728519022142336E-2</v>
      </c>
      <c r="AB39" s="4">
        <v>0.46705607280457528</v>
      </c>
      <c r="AC39" s="4">
        <v>0.48260701559285313</v>
      </c>
      <c r="AD39" s="4">
        <v>3.24712567721294</v>
      </c>
      <c r="AE39" s="4">
        <v>2.8064485512662616</v>
      </c>
      <c r="AF39" s="4">
        <v>0.29366067087101955</v>
      </c>
      <c r="AG39" s="4">
        <v>0</v>
      </c>
      <c r="AH39" s="4">
        <v>0</v>
      </c>
      <c r="AI39" s="4">
        <v>3.5632551664402802E-2</v>
      </c>
      <c r="AJ39" s="4">
        <v>0.53692268512530017</v>
      </c>
    </row>
    <row r="40" spans="1:36" x14ac:dyDescent="0.2">
      <c r="A40" t="s">
        <v>30</v>
      </c>
      <c r="B40" t="s">
        <v>13</v>
      </c>
      <c r="C40" t="s">
        <v>31</v>
      </c>
      <c r="D40" t="s">
        <v>38</v>
      </c>
      <c r="E40" t="s">
        <v>32</v>
      </c>
      <c r="F40">
        <v>0</v>
      </c>
      <c r="G40" s="1">
        <v>44422</v>
      </c>
      <c r="H40" s="2">
        <v>0.78125</v>
      </c>
      <c r="I40" s="2">
        <f t="shared" ref="I40:I43" si="14">G40+H40</f>
        <v>44422.78125</v>
      </c>
      <c r="J40" s="3">
        <f t="shared" si="10"/>
        <v>0</v>
      </c>
      <c r="K40">
        <v>0</v>
      </c>
      <c r="L40">
        <v>3</v>
      </c>
      <c r="M40" s="4">
        <v>38.976458129683934</v>
      </c>
      <c r="N40" s="4">
        <v>0.81862182911560955</v>
      </c>
    </row>
    <row r="41" spans="1:36" x14ac:dyDescent="0.2">
      <c r="A41" t="s">
        <v>30</v>
      </c>
      <c r="B41" t="s">
        <v>33</v>
      </c>
      <c r="C41" t="s">
        <v>31</v>
      </c>
      <c r="D41" t="s">
        <v>38</v>
      </c>
      <c r="E41" t="s">
        <v>32</v>
      </c>
      <c r="F41">
        <v>1</v>
      </c>
      <c r="G41" s="1">
        <v>44423</v>
      </c>
      <c r="H41" s="2">
        <v>0.78125</v>
      </c>
      <c r="I41" s="2">
        <f t="shared" si="14"/>
        <v>44423.78125</v>
      </c>
      <c r="J41" s="3">
        <f t="shared" si="10"/>
        <v>1</v>
      </c>
      <c r="K41">
        <v>0</v>
      </c>
      <c r="L41">
        <f>L40-0.4</f>
        <v>2.6</v>
      </c>
      <c r="M41" s="4">
        <v>43.281117627891817</v>
      </c>
      <c r="N41" s="4">
        <v>1.7741030352352943E-2</v>
      </c>
    </row>
    <row r="42" spans="1:36" x14ac:dyDescent="0.2">
      <c r="A42" t="s">
        <v>30</v>
      </c>
      <c r="B42" t="s">
        <v>34</v>
      </c>
      <c r="C42" t="s">
        <v>31</v>
      </c>
      <c r="D42" t="s">
        <v>38</v>
      </c>
      <c r="E42" t="s">
        <v>32</v>
      </c>
      <c r="F42">
        <v>2</v>
      </c>
      <c r="G42" s="1">
        <v>44424</v>
      </c>
      <c r="H42" s="2">
        <v>0.80208333333333337</v>
      </c>
      <c r="I42" s="2">
        <f t="shared" si="14"/>
        <v>44424.802083333336</v>
      </c>
      <c r="J42" s="3">
        <f t="shared" si="10"/>
        <v>2.0208333333357587</v>
      </c>
      <c r="K42">
        <v>0</v>
      </c>
      <c r="L42">
        <f>L41-0.3</f>
        <v>2.3000000000000003</v>
      </c>
      <c r="M42" s="4">
        <v>58.926278918214393</v>
      </c>
      <c r="N42" s="4">
        <v>0.80341523167073126</v>
      </c>
    </row>
    <row r="43" spans="1:36" x14ac:dyDescent="0.2">
      <c r="A43" t="s">
        <v>30</v>
      </c>
      <c r="B43" t="s">
        <v>35</v>
      </c>
      <c r="C43" t="s">
        <v>31</v>
      </c>
      <c r="D43" t="s">
        <v>38</v>
      </c>
      <c r="E43" t="s">
        <v>32</v>
      </c>
      <c r="F43">
        <v>3</v>
      </c>
      <c r="G43" s="1">
        <v>44425</v>
      </c>
      <c r="H43" s="2">
        <v>0.78125</v>
      </c>
      <c r="I43" s="2">
        <f t="shared" si="14"/>
        <v>44425.78125</v>
      </c>
      <c r="J43" s="3">
        <f t="shared" si="10"/>
        <v>3</v>
      </c>
      <c r="K43">
        <v>0</v>
      </c>
      <c r="L43">
        <f>L42-0.35</f>
        <v>1.9500000000000002</v>
      </c>
      <c r="M43" s="4">
        <v>69.103698273053112</v>
      </c>
      <c r="N43" s="4">
        <v>0.76539873805855074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E013-0355-7746-9CC7-13D1BEB87472}">
  <dimension ref="A1:X27"/>
  <sheetViews>
    <sheetView topLeftCell="D1" workbookViewId="0">
      <selection activeCell="J19" sqref="J19"/>
    </sheetView>
  </sheetViews>
  <sheetFormatPr baseColWidth="10" defaultRowHeight="16" x14ac:dyDescent="0.2"/>
  <cols>
    <col min="1" max="3" width="19.5" customWidth="1"/>
    <col min="4" max="4" width="18.5" style="4" customWidth="1"/>
    <col min="5" max="5" width="23.5" style="4" customWidth="1"/>
    <col min="6" max="6" width="17" style="4" customWidth="1"/>
    <col min="7" max="7" width="10.83203125" style="4"/>
    <col min="8" max="8" width="20.5" style="4" customWidth="1"/>
    <col min="9" max="9" width="23.5" style="4" customWidth="1"/>
    <col min="10" max="10" width="23.1640625" style="4" customWidth="1"/>
    <col min="11" max="11" width="14.6640625" style="5" customWidth="1"/>
    <col min="12" max="12" width="14.33203125" style="4" customWidth="1"/>
    <col min="13" max="13" width="22.33203125" style="4" customWidth="1"/>
    <col min="14" max="14" width="22.1640625" style="4" customWidth="1"/>
    <col min="15" max="24" width="10.83203125" style="4"/>
  </cols>
  <sheetData>
    <row r="1" spans="1:14" x14ac:dyDescent="0.2">
      <c r="A1" t="s">
        <v>10</v>
      </c>
      <c r="B1" t="s">
        <v>69</v>
      </c>
      <c r="C1" t="s">
        <v>36</v>
      </c>
      <c r="D1" s="4" t="s">
        <v>44</v>
      </c>
      <c r="F1" s="4" t="s">
        <v>50</v>
      </c>
      <c r="G1" s="4" t="s">
        <v>46</v>
      </c>
      <c r="H1" s="4" t="s">
        <v>66</v>
      </c>
      <c r="I1" s="4" t="s">
        <v>67</v>
      </c>
      <c r="J1" s="4" t="s">
        <v>68</v>
      </c>
      <c r="K1" s="5" t="s">
        <v>65</v>
      </c>
      <c r="L1" s="4" t="s">
        <v>72</v>
      </c>
      <c r="M1" s="4" t="s">
        <v>78</v>
      </c>
      <c r="N1" s="4" t="s">
        <v>79</v>
      </c>
    </row>
    <row r="2" spans="1:14" x14ac:dyDescent="0.2">
      <c r="A2" t="s">
        <v>11</v>
      </c>
      <c r="B2" t="s">
        <v>15</v>
      </c>
      <c r="C2" t="s">
        <v>37</v>
      </c>
      <c r="D2" s="4">
        <v>7835.7023576375977</v>
      </c>
      <c r="F2" s="4">
        <f>SLOPE(Sheet1!$Q$7:$Q$10,Sheet1!$J$7:$J$10)</f>
        <v>153.44592247326787</v>
      </c>
      <c r="G2" s="4">
        <v>143.51103219116479</v>
      </c>
      <c r="H2" s="4">
        <v>480.17381999999998</v>
      </c>
      <c r="I2" s="4">
        <v>389.85835000000003</v>
      </c>
      <c r="J2" s="4">
        <v>90.315469999999948</v>
      </c>
      <c r="K2" s="5">
        <v>160</v>
      </c>
      <c r="L2" s="4">
        <v>302.19156774321533</v>
      </c>
    </row>
    <row r="3" spans="1:14" x14ac:dyDescent="0.2">
      <c r="A3" t="s">
        <v>11</v>
      </c>
      <c r="B3" t="s">
        <v>16</v>
      </c>
      <c r="C3" t="s">
        <v>37</v>
      </c>
      <c r="D3" s="4">
        <v>7347.8073025733429</v>
      </c>
      <c r="F3" s="4">
        <f>SLOPE(Sheet1!$Q$11:$Q$14,Sheet1!$J$11:$J$14)</f>
        <v>115.04190815822464</v>
      </c>
      <c r="G3" s="4">
        <v>198.96580835562801</v>
      </c>
      <c r="H3" s="4">
        <v>451.78308000000004</v>
      </c>
      <c r="I3" s="4">
        <v>302.42310000000003</v>
      </c>
      <c r="J3" s="4">
        <v>149.35998000000001</v>
      </c>
      <c r="K3" s="5">
        <v>123</v>
      </c>
      <c r="L3" s="4">
        <v>224.63750295080223</v>
      </c>
    </row>
    <row r="4" spans="1:14" x14ac:dyDescent="0.2">
      <c r="A4" t="s">
        <v>11</v>
      </c>
      <c r="B4" t="s">
        <v>41</v>
      </c>
      <c r="C4" t="s">
        <v>76</v>
      </c>
      <c r="D4" s="4">
        <v>941</v>
      </c>
      <c r="H4" s="4">
        <v>490.5</v>
      </c>
      <c r="K4" s="5">
        <v>104.3</v>
      </c>
      <c r="L4" s="4">
        <v>350.1</v>
      </c>
      <c r="M4" s="4">
        <f>(L4*0.007)/(AVERAGE(L2:L3)*0.02)</f>
        <v>0.46517934114219889</v>
      </c>
      <c r="N4" s="4">
        <f>(H4*0.007)/(AVERAGE(H2:H3)*0.02)</f>
        <v>0.36841832492468268</v>
      </c>
    </row>
    <row r="5" spans="1:14" x14ac:dyDescent="0.2">
      <c r="A5" t="s">
        <v>13</v>
      </c>
      <c r="B5" t="s">
        <v>15</v>
      </c>
      <c r="C5" t="s">
        <v>38</v>
      </c>
      <c r="D5" s="4">
        <v>375.17921146953404</v>
      </c>
      <c r="F5" s="4">
        <f>SLOPE(Sheet1!Q32:Q35,Sheet1!J32:J35)</f>
        <v>7.7043378686212387</v>
      </c>
      <c r="G5" s="4">
        <v>26.514431905974135</v>
      </c>
      <c r="H5" s="4">
        <v>152.24020000000002</v>
      </c>
      <c r="I5" s="4">
        <v>165.40691999999999</v>
      </c>
      <c r="J5" s="4">
        <v>-13.16671999999997</v>
      </c>
      <c r="K5" s="5">
        <v>84</v>
      </c>
      <c r="L5" s="4">
        <v>44.755158223955078</v>
      </c>
    </row>
    <row r="6" spans="1:14" x14ac:dyDescent="0.2">
      <c r="A6" t="s">
        <v>13</v>
      </c>
      <c r="B6" t="s">
        <v>16</v>
      </c>
      <c r="C6" t="s">
        <v>38</v>
      </c>
      <c r="D6" s="4">
        <v>334.80286738351259</v>
      </c>
      <c r="F6" s="4">
        <f>SLOPE(Sheet1!Q36:Q39,Sheet1!J36:J39)</f>
        <v>6.0521853923762849</v>
      </c>
      <c r="G6" s="4">
        <v>23.478461948352916</v>
      </c>
      <c r="H6" s="4">
        <v>120.96923999999999</v>
      </c>
      <c r="I6" s="4">
        <v>113.97441999999998</v>
      </c>
      <c r="J6" s="4">
        <v>6.9948200000000043</v>
      </c>
      <c r="K6" s="5">
        <v>60</v>
      </c>
      <c r="L6" s="4">
        <v>40.446599068821016</v>
      </c>
    </row>
    <row r="7" spans="1:14" x14ac:dyDescent="0.2">
      <c r="A7" t="s">
        <v>13</v>
      </c>
      <c r="B7" t="s">
        <v>41</v>
      </c>
      <c r="C7" t="s">
        <v>38</v>
      </c>
      <c r="D7" s="4">
        <v>297</v>
      </c>
      <c r="H7" s="4">
        <v>184</v>
      </c>
      <c r="K7" s="5">
        <v>81.900000000000006</v>
      </c>
      <c r="L7" s="4">
        <v>81.400000000000006</v>
      </c>
      <c r="M7" s="4">
        <f>(L7*0.007)/(AVERAGE(L5:L6)*0.02)</f>
        <v>0.66876554909778962</v>
      </c>
      <c r="N7" s="4">
        <f>(H7*0.007)/(AVERAGE(H5:H6)*0.02)</f>
        <v>0.47143319791585536</v>
      </c>
    </row>
    <row r="9" spans="1:14" x14ac:dyDescent="0.2">
      <c r="A9" t="s">
        <v>10</v>
      </c>
      <c r="B9" t="s">
        <v>69</v>
      </c>
      <c r="C9" t="s">
        <v>36</v>
      </c>
      <c r="D9" s="4" t="s">
        <v>44</v>
      </c>
      <c r="E9" s="4" t="s">
        <v>77</v>
      </c>
      <c r="F9" s="4" t="s">
        <v>50</v>
      </c>
      <c r="G9" s="4" t="s">
        <v>46</v>
      </c>
      <c r="H9" s="4" t="s">
        <v>70</v>
      </c>
      <c r="I9" s="4" t="s">
        <v>71</v>
      </c>
      <c r="J9" s="4" t="s">
        <v>68</v>
      </c>
      <c r="K9" s="5" t="s">
        <v>65</v>
      </c>
      <c r="L9" s="4" t="s">
        <v>73</v>
      </c>
      <c r="M9" s="4" t="s">
        <v>74</v>
      </c>
      <c r="N9" s="4" t="s">
        <v>80</v>
      </c>
    </row>
    <row r="10" spans="1:14" x14ac:dyDescent="0.2">
      <c r="A10" t="s">
        <v>11</v>
      </c>
      <c r="B10" t="s">
        <v>15</v>
      </c>
      <c r="C10" t="s">
        <v>37</v>
      </c>
      <c r="D10" s="4">
        <v>7835.7023576375977</v>
      </c>
      <c r="F10" s="4">
        <v>153.44592247326787</v>
      </c>
      <c r="G10" s="4">
        <v>143.51103219116479</v>
      </c>
      <c r="H10" s="4">
        <f>H2/D2 *100</f>
        <v>6.1280252628785226</v>
      </c>
      <c r="I10" s="4">
        <f>I2/H2 *100</f>
        <v>81.191088260497011</v>
      </c>
      <c r="J10" s="4">
        <f>100 -I10</f>
        <v>18.808911739502989</v>
      </c>
      <c r="K10" s="5">
        <f>K2/H2 *100</f>
        <v>33.321266869568191</v>
      </c>
      <c r="L10" s="4">
        <f>L2/D10 *100</f>
        <v>3.8565983488214535</v>
      </c>
      <c r="M10" s="4">
        <v>1.8</v>
      </c>
      <c r="N10" s="4">
        <f t="shared" ref="N10:N15" si="0">SUM(H10,L10,M10)</f>
        <v>11.784623611699978</v>
      </c>
    </row>
    <row r="11" spans="1:14" x14ac:dyDescent="0.2">
      <c r="A11" t="s">
        <v>11</v>
      </c>
      <c r="B11" t="s">
        <v>16</v>
      </c>
      <c r="C11" t="s">
        <v>37</v>
      </c>
      <c r="D11" s="4">
        <v>7347.8073025733429</v>
      </c>
      <c r="F11" s="4">
        <v>115.04190815822464</v>
      </c>
      <c r="G11" s="4">
        <v>198.96580835562801</v>
      </c>
      <c r="H11" s="4">
        <f>H3/D3*100</f>
        <v>6.1485428427304694</v>
      </c>
      <c r="I11" s="4">
        <f>I3/H3 *100</f>
        <v>66.939890710382514</v>
      </c>
      <c r="J11" s="4">
        <f t="shared" ref="J11:J14" si="1">100 -I11</f>
        <v>33.060109289617486</v>
      </c>
      <c r="K11" s="5">
        <f t="shared" ref="K11:K15" si="2">K3/H3 *100</f>
        <v>27.225455189689708</v>
      </c>
      <c r="L11" s="4">
        <f t="shared" ref="L11:L15" si="3">L3/D11 *100</f>
        <v>3.0572046013254845</v>
      </c>
      <c r="M11" s="4">
        <v>1.9</v>
      </c>
      <c r="N11" s="4">
        <f t="shared" si="0"/>
        <v>11.105747444055954</v>
      </c>
    </row>
    <row r="12" spans="1:14" x14ac:dyDescent="0.2">
      <c r="A12" t="s">
        <v>11</v>
      </c>
      <c r="B12" t="s">
        <v>41</v>
      </c>
      <c r="C12" t="s">
        <v>76</v>
      </c>
      <c r="D12" s="4">
        <v>941</v>
      </c>
      <c r="E12" s="4">
        <f>(D12*0.007)/(AVERAGE(D10:D11)*0.02) *100</f>
        <v>4.338259168933468</v>
      </c>
      <c r="H12" s="4">
        <f>H4/D4*100</f>
        <v>52.125398512221047</v>
      </c>
      <c r="K12" s="5">
        <f t="shared" si="2"/>
        <v>21.264016309887868</v>
      </c>
      <c r="L12" s="4">
        <f t="shared" si="3"/>
        <v>37.205100956429334</v>
      </c>
      <c r="M12" s="4">
        <v>3.7</v>
      </c>
      <c r="N12" s="4">
        <f t="shared" si="0"/>
        <v>93.030499468650376</v>
      </c>
    </row>
    <row r="13" spans="1:14" x14ac:dyDescent="0.2">
      <c r="A13" t="s">
        <v>13</v>
      </c>
      <c r="B13" t="s">
        <v>15</v>
      </c>
      <c r="C13" t="s">
        <v>38</v>
      </c>
      <c r="D13" s="4">
        <v>375.17921146953404</v>
      </c>
      <c r="F13" s="4">
        <v>7.7043378686212387</v>
      </c>
      <c r="G13" s="4">
        <v>26.514431905974135</v>
      </c>
      <c r="H13" s="4">
        <f>H5/D5 *100</f>
        <v>40.577994554573685</v>
      </c>
      <c r="I13" s="4">
        <f>I5/H5 *100</f>
        <v>108.64864864864863</v>
      </c>
      <c r="J13" s="4">
        <f t="shared" si="1"/>
        <v>-8.6486486486486314</v>
      </c>
      <c r="K13" s="5">
        <f t="shared" si="2"/>
        <v>55.175965349493751</v>
      </c>
      <c r="L13" s="4">
        <f t="shared" si="3"/>
        <v>11.929008019568634</v>
      </c>
      <c r="M13" s="4">
        <v>2.7</v>
      </c>
      <c r="N13" s="4">
        <f t="shared" si="0"/>
        <v>55.207002574142322</v>
      </c>
    </row>
    <row r="14" spans="1:14" x14ac:dyDescent="0.2">
      <c r="A14" t="s">
        <v>13</v>
      </c>
      <c r="B14" t="s">
        <v>16</v>
      </c>
      <c r="C14" t="s">
        <v>38</v>
      </c>
      <c r="D14" s="4">
        <v>334.80286738351259</v>
      </c>
      <c r="F14" s="4">
        <v>6.0521853923762849</v>
      </c>
      <c r="G14" s="4">
        <v>23.478461948352916</v>
      </c>
      <c r="H14" s="4">
        <f>H6/D6*100</f>
        <v>36.131482667808577</v>
      </c>
      <c r="I14" s="4">
        <f>I6/H6 *100</f>
        <v>94.217687074829925</v>
      </c>
      <c r="J14" s="4">
        <f t="shared" si="1"/>
        <v>5.7823129251700749</v>
      </c>
      <c r="K14" s="5">
        <f t="shared" si="2"/>
        <v>49.59938576120674</v>
      </c>
      <c r="L14" s="4">
        <f t="shared" si="3"/>
        <v>12.080720629698172</v>
      </c>
      <c r="M14" s="4">
        <v>2.7</v>
      </c>
      <c r="N14" s="4">
        <f t="shared" si="0"/>
        <v>50.91220329750675</v>
      </c>
    </row>
    <row r="15" spans="1:14" x14ac:dyDescent="0.2">
      <c r="A15" t="s">
        <v>13</v>
      </c>
      <c r="B15" t="s">
        <v>41</v>
      </c>
      <c r="C15" t="s">
        <v>38</v>
      </c>
      <c r="D15" s="4">
        <v>297</v>
      </c>
      <c r="E15" s="4">
        <f>(D15*0.007)/(AVERAGE(D13:D14)*0.02)*100</f>
        <v>29.282429260166086</v>
      </c>
      <c r="H15" s="4">
        <f>H7/D7*100</f>
        <v>61.952861952861952</v>
      </c>
      <c r="K15" s="5">
        <f t="shared" si="2"/>
        <v>44.510869565217391</v>
      </c>
      <c r="L15" s="4">
        <f t="shared" si="3"/>
        <v>27.407407407407408</v>
      </c>
      <c r="M15" s="4">
        <v>5.6</v>
      </c>
      <c r="N15" s="4">
        <f t="shared" si="0"/>
        <v>94.960269360269351</v>
      </c>
    </row>
    <row r="17" spans="1:24" x14ac:dyDescent="0.2">
      <c r="A17" s="17"/>
    </row>
    <row r="18" spans="1:24" x14ac:dyDescent="0.2">
      <c r="C18" s="4"/>
      <c r="I18" s="5"/>
      <c r="K18" s="4"/>
      <c r="W18"/>
      <c r="X18"/>
    </row>
    <row r="19" spans="1:24" x14ac:dyDescent="0.2">
      <c r="C19" s="4"/>
      <c r="K19" s="4"/>
      <c r="W19"/>
      <c r="X19"/>
    </row>
    <row r="20" spans="1:24" x14ac:dyDescent="0.2">
      <c r="C20" s="4"/>
      <c r="K20" s="4"/>
      <c r="W20"/>
      <c r="X20"/>
    </row>
    <row r="21" spans="1:24" x14ac:dyDescent="0.2">
      <c r="C21" s="4"/>
      <c r="K21" s="4"/>
      <c r="W21"/>
      <c r="X21"/>
    </row>
    <row r="22" spans="1:24" x14ac:dyDescent="0.2">
      <c r="C22" s="4"/>
      <c r="K22" s="4"/>
      <c r="W22"/>
      <c r="X22"/>
    </row>
    <row r="23" spans="1:24" x14ac:dyDescent="0.2">
      <c r="C23" s="4"/>
      <c r="K23" s="4"/>
      <c r="W23"/>
      <c r="X23"/>
    </row>
    <row r="24" spans="1:24" x14ac:dyDescent="0.2">
      <c r="A24" s="17"/>
      <c r="C24" s="4"/>
      <c r="I24" s="5"/>
      <c r="K24" s="4"/>
      <c r="W24"/>
      <c r="X24"/>
    </row>
    <row r="25" spans="1:24" x14ac:dyDescent="0.2">
      <c r="C25" s="4"/>
      <c r="I25" s="5"/>
      <c r="K25" s="4"/>
      <c r="W25"/>
      <c r="X25"/>
    </row>
    <row r="26" spans="1:24" x14ac:dyDescent="0.2">
      <c r="C26" s="4"/>
      <c r="K26" s="4"/>
      <c r="W26"/>
      <c r="X26"/>
    </row>
    <row r="27" spans="1:24" x14ac:dyDescent="0.2">
      <c r="C27" s="4"/>
      <c r="K27" s="4"/>
      <c r="W27"/>
      <c r="X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61A07-570C-9B40-BC9E-E025CC27254C}">
  <dimension ref="A1:X21"/>
  <sheetViews>
    <sheetView topLeftCell="G1" workbookViewId="0">
      <selection activeCell="F50" sqref="F50"/>
    </sheetView>
  </sheetViews>
  <sheetFormatPr baseColWidth="10" defaultRowHeight="16" x14ac:dyDescent="0.2"/>
  <cols>
    <col min="1" max="3" width="19.5" customWidth="1"/>
    <col min="4" max="5" width="10.83203125" style="5"/>
    <col min="6" max="17" width="10.83203125" style="4"/>
    <col min="19" max="21" width="10.83203125" style="4"/>
    <col min="22" max="22" width="18.1640625" customWidth="1"/>
  </cols>
  <sheetData>
    <row r="1" spans="1:24" x14ac:dyDescent="0.2">
      <c r="A1" t="s">
        <v>10</v>
      </c>
      <c r="B1" t="s">
        <v>14</v>
      </c>
      <c r="D1" s="5" t="s">
        <v>51</v>
      </c>
      <c r="E1" s="5" t="s">
        <v>64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97</v>
      </c>
      <c r="S1" s="4" t="s">
        <v>98</v>
      </c>
      <c r="T1" s="4" t="s">
        <v>99</v>
      </c>
      <c r="U1" s="4" t="s">
        <v>100</v>
      </c>
      <c r="V1" s="4" t="s">
        <v>102</v>
      </c>
    </row>
    <row r="2" spans="1:24" x14ac:dyDescent="0.2">
      <c r="A2" t="s">
        <v>11</v>
      </c>
      <c r="B2" t="s">
        <v>15</v>
      </c>
      <c r="D2" s="5">
        <v>160</v>
      </c>
      <c r="E2" s="5">
        <v>26.564760318077539</v>
      </c>
      <c r="F2" s="5">
        <v>16.369176084699106</v>
      </c>
      <c r="G2" s="5">
        <v>0.87359993926874535</v>
      </c>
      <c r="H2" s="5">
        <v>0.48684271444922533</v>
      </c>
      <c r="I2" s="5">
        <v>1.2950631177261795</v>
      </c>
      <c r="J2" s="5">
        <v>9.1072014880332475</v>
      </c>
      <c r="K2" s="5">
        <v>33.911598399282425</v>
      </c>
      <c r="L2" s="5">
        <v>31.314883836042434</v>
      </c>
      <c r="M2" s="5">
        <v>1.6959617867123502</v>
      </c>
      <c r="N2" s="5">
        <v>0</v>
      </c>
      <c r="O2" s="5">
        <v>0</v>
      </c>
      <c r="P2" s="5">
        <v>0.66680404465847887</v>
      </c>
      <c r="Q2" s="5">
        <v>4.2788685891278178</v>
      </c>
      <c r="S2" s="4">
        <f>F2</f>
        <v>16.369176084699106</v>
      </c>
      <c r="T2" s="4">
        <f>S2*(3/7)</f>
        <v>7.0153611791567592</v>
      </c>
      <c r="U2" s="4">
        <f>S2*(1/7)</f>
        <v>2.3384537263855862</v>
      </c>
      <c r="V2" s="5">
        <f t="shared" ref="V2:V7" si="0">SUM(S16:U16)</f>
        <v>33.103307686030277</v>
      </c>
      <c r="W2">
        <f>(V2/D2) *100</f>
        <v>20.689567303768925</v>
      </c>
      <c r="X2">
        <f>AVERAGE(W2:W3)</f>
        <v>20.773606719411834</v>
      </c>
    </row>
    <row r="3" spans="1:24" x14ac:dyDescent="0.2">
      <c r="A3" t="s">
        <v>11</v>
      </c>
      <c r="B3" t="s">
        <v>16</v>
      </c>
      <c r="D3" s="5">
        <v>123</v>
      </c>
      <c r="E3" s="5">
        <v>20.40375149153494</v>
      </c>
      <c r="F3" s="5">
        <v>15.691236910195213</v>
      </c>
      <c r="G3" s="5">
        <v>0.84803916784444966</v>
      </c>
      <c r="H3" s="5">
        <v>0.54311610720007586</v>
      </c>
      <c r="I3" s="5">
        <v>0.95397496887487887</v>
      </c>
      <c r="J3" s="5">
        <v>9.3570477375205581</v>
      </c>
      <c r="K3" s="5">
        <v>34.410637815644094</v>
      </c>
      <c r="L3" s="5">
        <v>32.081058147996103</v>
      </c>
      <c r="M3" s="5">
        <v>1.8203681280687236</v>
      </c>
      <c r="N3" s="5">
        <v>0</v>
      </c>
      <c r="O3" s="5">
        <v>0</v>
      </c>
      <c r="P3" s="5">
        <v>0.45851117538711922</v>
      </c>
      <c r="Q3" s="5">
        <v>3.8360098412687971</v>
      </c>
      <c r="S3" s="4">
        <f t="shared" ref="S3:S7" si="1">F3</f>
        <v>15.691236910195213</v>
      </c>
      <c r="T3" s="4">
        <f t="shared" ref="T3:T7" si="2">S3*(3/7)</f>
        <v>6.7248158186550908</v>
      </c>
      <c r="U3" s="4">
        <f t="shared" ref="U3:U7" si="3">S3*(1/7)</f>
        <v>2.2416052728850304</v>
      </c>
      <c r="V3" s="5">
        <f t="shared" si="0"/>
        <v>25.654904746117335</v>
      </c>
      <c r="W3">
        <f t="shared" ref="W3:W7" si="4">(V3/D3) *100</f>
        <v>20.857646135054743</v>
      </c>
    </row>
    <row r="4" spans="1:24" x14ac:dyDescent="0.2">
      <c r="A4" t="s">
        <v>94</v>
      </c>
      <c r="B4" t="s">
        <v>96</v>
      </c>
      <c r="D4" s="5">
        <v>106.69968508182077</v>
      </c>
      <c r="E4" s="5">
        <v>17.175226801294226</v>
      </c>
      <c r="F4" s="5">
        <v>19.274707792695541</v>
      </c>
      <c r="G4" s="5">
        <v>1.3154849259366306</v>
      </c>
      <c r="H4" s="5">
        <v>0.4790831459520824</v>
      </c>
      <c r="I4" s="5">
        <v>5.4870075299185661</v>
      </c>
      <c r="J4" s="5">
        <v>12.625361138656702</v>
      </c>
      <c r="K4" s="5">
        <v>28.468966531100531</v>
      </c>
      <c r="L4" s="5">
        <v>23.770961644378644</v>
      </c>
      <c r="M4" s="5">
        <v>1.4124957861503253</v>
      </c>
      <c r="N4" s="5">
        <v>0</v>
      </c>
      <c r="O4" s="5">
        <v>0</v>
      </c>
      <c r="P4" s="5">
        <v>0.7854321878331133</v>
      </c>
      <c r="Q4" s="5">
        <v>6.3804993173778772</v>
      </c>
      <c r="S4" s="4">
        <f t="shared" si="1"/>
        <v>19.274707792695541</v>
      </c>
      <c r="T4" s="4">
        <f t="shared" si="2"/>
        <v>8.2605890540123745</v>
      </c>
      <c r="U4" s="4">
        <f t="shared" si="3"/>
        <v>2.7535296846707915</v>
      </c>
      <c r="V4" s="5">
        <f t="shared" si="0"/>
        <v>29.633408692389018</v>
      </c>
      <c r="W4">
        <f t="shared" si="4"/>
        <v>27.772723667989425</v>
      </c>
      <c r="X4">
        <f>W4</f>
        <v>27.772723667989425</v>
      </c>
    </row>
    <row r="5" spans="1:24" x14ac:dyDescent="0.2">
      <c r="A5" t="s">
        <v>13</v>
      </c>
      <c r="B5" t="s">
        <v>15</v>
      </c>
      <c r="D5" s="5">
        <v>84</v>
      </c>
      <c r="E5" s="5">
        <v>13.793918670757144</v>
      </c>
      <c r="F5" s="5">
        <v>17.828622027852084</v>
      </c>
      <c r="G5" s="5">
        <v>0.50088870262298191</v>
      </c>
      <c r="H5" s="5">
        <v>0.17424669200959414</v>
      </c>
      <c r="I5" s="5">
        <v>3.6224933231019421</v>
      </c>
      <c r="J5" s="5">
        <v>2.0453390570729848</v>
      </c>
      <c r="K5" s="5">
        <v>33.740830334264153</v>
      </c>
      <c r="L5" s="5">
        <v>32.681485488945675</v>
      </c>
      <c r="M5" s="5">
        <v>3.3011754177624435</v>
      </c>
      <c r="N5" s="5">
        <v>0</v>
      </c>
      <c r="O5" s="5">
        <v>0</v>
      </c>
      <c r="P5" s="5">
        <v>0.47663835445980141</v>
      </c>
      <c r="Q5" s="5">
        <v>5.6282806019083447</v>
      </c>
      <c r="S5" s="4">
        <f t="shared" si="1"/>
        <v>17.828622027852084</v>
      </c>
      <c r="T5" s="4">
        <f t="shared" si="2"/>
        <v>7.6408380119366068</v>
      </c>
      <c r="U5" s="4">
        <f t="shared" si="3"/>
        <v>2.5469460039788689</v>
      </c>
      <c r="V5" s="5">
        <f t="shared" si="0"/>
        <v>23.005674698058431</v>
      </c>
      <c r="W5">
        <f t="shared" si="4"/>
        <v>27.387707973879081</v>
      </c>
      <c r="X5">
        <f>AVERAGE(W5:W6)</f>
        <v>30.552823489651992</v>
      </c>
    </row>
    <row r="6" spans="1:24" x14ac:dyDescent="0.2">
      <c r="A6" t="s">
        <v>13</v>
      </c>
      <c r="B6" t="s">
        <v>16</v>
      </c>
      <c r="D6" s="5">
        <v>60</v>
      </c>
      <c r="E6" s="5">
        <v>9.7659465685339182</v>
      </c>
      <c r="F6" s="5">
        <v>18.841117085725415</v>
      </c>
      <c r="G6" s="5">
        <v>0.3865615811292662</v>
      </c>
      <c r="H6" s="5">
        <v>0.19177371994319539</v>
      </c>
      <c r="I6" s="5">
        <v>4.7824967045123881</v>
      </c>
      <c r="J6" s="5">
        <v>4.9417331152294333</v>
      </c>
      <c r="K6" s="5">
        <v>33.249472075500044</v>
      </c>
      <c r="L6" s="5">
        <v>28.737086892413448</v>
      </c>
      <c r="M6" s="5">
        <v>3.0069862538179382</v>
      </c>
      <c r="N6" s="5">
        <v>0</v>
      </c>
      <c r="O6" s="5">
        <v>0</v>
      </c>
      <c r="P6" s="5">
        <v>0.36486531453296722</v>
      </c>
      <c r="Q6" s="5">
        <v>5.4979072571958989</v>
      </c>
      <c r="S6" s="4">
        <f t="shared" si="1"/>
        <v>18.841117085725415</v>
      </c>
      <c r="T6" s="4">
        <f t="shared" si="2"/>
        <v>8.0747644653108921</v>
      </c>
      <c r="U6" s="4">
        <f t="shared" si="3"/>
        <v>2.6915881551036307</v>
      </c>
      <c r="V6" s="5">
        <f t="shared" si="0"/>
        <v>20.23076340325494</v>
      </c>
      <c r="W6">
        <f t="shared" si="4"/>
        <v>33.717939005424903</v>
      </c>
    </row>
    <row r="7" spans="1:24" x14ac:dyDescent="0.2">
      <c r="A7" t="s">
        <v>95</v>
      </c>
      <c r="B7" t="s">
        <v>96</v>
      </c>
      <c r="D7" s="5">
        <v>83.396665614891518</v>
      </c>
      <c r="E7" s="5">
        <v>13.633479803940871</v>
      </c>
      <c r="F7" s="5">
        <v>18.397924227634803</v>
      </c>
      <c r="G7" s="5">
        <v>0.59216070319224468</v>
      </c>
      <c r="H7" s="5">
        <v>0.1715824890568968</v>
      </c>
      <c r="I7" s="5">
        <v>3.3377641161602809</v>
      </c>
      <c r="J7" s="5">
        <v>5.0593680211318794</v>
      </c>
      <c r="K7" s="5">
        <v>27.843038623749024</v>
      </c>
      <c r="L7" s="5">
        <v>33.817535522694762</v>
      </c>
      <c r="M7" s="5">
        <v>3.2922892570453222</v>
      </c>
      <c r="N7" s="5">
        <v>0</v>
      </c>
      <c r="O7" s="5">
        <v>0</v>
      </c>
      <c r="P7" s="5">
        <v>0.47117817094618375</v>
      </c>
      <c r="Q7" s="5">
        <v>7.0171588683886146</v>
      </c>
      <c r="S7" s="4">
        <f t="shared" si="1"/>
        <v>18.397924227634803</v>
      </c>
      <c r="T7" s="4">
        <f t="shared" si="2"/>
        <v>7.8848246689863437</v>
      </c>
      <c r="U7" s="4">
        <f t="shared" si="3"/>
        <v>2.6282748896621144</v>
      </c>
      <c r="V7" s="5">
        <f t="shared" si="0"/>
        <v>23.846909778416087</v>
      </c>
      <c r="W7">
        <f t="shared" si="4"/>
        <v>28.594560229225667</v>
      </c>
      <c r="X7">
        <f>W7</f>
        <v>28.594560229225667</v>
      </c>
    </row>
    <row r="8" spans="1:24" x14ac:dyDescent="0.2">
      <c r="D8" s="5" t="s">
        <v>51</v>
      </c>
      <c r="E8" s="5" t="s">
        <v>64</v>
      </c>
      <c r="F8" s="4" t="s">
        <v>52</v>
      </c>
      <c r="G8" s="4" t="s">
        <v>53</v>
      </c>
      <c r="H8" s="4" t="s">
        <v>54</v>
      </c>
      <c r="I8" s="4" t="s">
        <v>55</v>
      </c>
      <c r="J8" s="4" t="s">
        <v>56</v>
      </c>
      <c r="K8" s="4" t="s">
        <v>57</v>
      </c>
      <c r="L8" s="4" t="s">
        <v>58</v>
      </c>
      <c r="M8" s="4" t="s">
        <v>59</v>
      </c>
      <c r="N8" s="4" t="s">
        <v>60</v>
      </c>
      <c r="O8" s="4" t="s">
        <v>61</v>
      </c>
      <c r="P8" s="4" t="s">
        <v>62</v>
      </c>
      <c r="Q8" s="4" t="s">
        <v>63</v>
      </c>
    </row>
    <row r="9" spans="1:24" x14ac:dyDescent="0.2">
      <c r="A9" t="s">
        <v>37</v>
      </c>
      <c r="D9" s="5">
        <f>AVERAGE(D2:D3)</f>
        <v>141.5</v>
      </c>
      <c r="E9" s="5">
        <f>AVERAGE(E2:E3)</f>
        <v>23.48425590480624</v>
      </c>
      <c r="F9" s="5">
        <f t="shared" ref="F9:Q9" si="5">AVERAGE(F2:F3)</f>
        <v>16.030206497447161</v>
      </c>
      <c r="G9" s="5">
        <f t="shared" si="5"/>
        <v>0.86081955355659745</v>
      </c>
      <c r="H9" s="5">
        <f t="shared" si="5"/>
        <v>0.5149794108246506</v>
      </c>
      <c r="I9" s="5">
        <f t="shared" si="5"/>
        <v>1.1245190433005292</v>
      </c>
      <c r="J9" s="5">
        <f t="shared" si="5"/>
        <v>9.2321246127769037</v>
      </c>
      <c r="K9" s="5">
        <f t="shared" si="5"/>
        <v>34.16111810746326</v>
      </c>
      <c r="L9" s="5">
        <f t="shared" si="5"/>
        <v>31.697970992019268</v>
      </c>
      <c r="M9" s="5">
        <f t="shared" si="5"/>
        <v>1.7581649573905369</v>
      </c>
      <c r="N9" s="5">
        <f t="shared" si="5"/>
        <v>0</v>
      </c>
      <c r="O9" s="5">
        <f t="shared" si="5"/>
        <v>0</v>
      </c>
      <c r="P9" s="5">
        <f t="shared" si="5"/>
        <v>0.56265761002279902</v>
      </c>
      <c r="Q9" s="5">
        <f t="shared" si="5"/>
        <v>4.0574392151983076</v>
      </c>
      <c r="S9" s="4">
        <f>(S2/100)*E2</f>
        <v>4.3484323929443862</v>
      </c>
      <c r="T9" s="4">
        <f t="shared" ref="T9:U14" si="6">(T2/100)*F2</f>
        <v>1.1483568243937934</v>
      </c>
      <c r="U9" s="4">
        <f t="shared" si="6"/>
        <v>2.0428730333532194E-2</v>
      </c>
    </row>
    <row r="10" spans="1:24" x14ac:dyDescent="0.2">
      <c r="A10" t="s">
        <v>106</v>
      </c>
      <c r="D10" s="5">
        <f>D4</f>
        <v>106.69968508182077</v>
      </c>
      <c r="E10" s="5">
        <f>E4</f>
        <v>17.175226801294226</v>
      </c>
      <c r="F10" s="5">
        <f t="shared" ref="F10:Q10" si="7">F4</f>
        <v>19.274707792695541</v>
      </c>
      <c r="G10" s="5">
        <f t="shared" si="7"/>
        <v>1.3154849259366306</v>
      </c>
      <c r="H10" s="5">
        <f t="shared" si="7"/>
        <v>0.4790831459520824</v>
      </c>
      <c r="I10" s="5">
        <f t="shared" si="7"/>
        <v>5.4870075299185661</v>
      </c>
      <c r="J10" s="5">
        <f t="shared" si="7"/>
        <v>12.625361138656702</v>
      </c>
      <c r="K10" s="5">
        <f t="shared" si="7"/>
        <v>28.468966531100531</v>
      </c>
      <c r="L10" s="5">
        <f t="shared" si="7"/>
        <v>23.770961644378644</v>
      </c>
      <c r="M10" s="5">
        <f t="shared" si="7"/>
        <v>1.4124957861503253</v>
      </c>
      <c r="N10" s="5">
        <f t="shared" si="7"/>
        <v>0</v>
      </c>
      <c r="O10" s="5">
        <f t="shared" si="7"/>
        <v>0</v>
      </c>
      <c r="P10" s="5">
        <f t="shared" si="7"/>
        <v>0.7854321878331133</v>
      </c>
      <c r="Q10" s="5">
        <f t="shared" si="7"/>
        <v>6.3804993173778772</v>
      </c>
      <c r="S10" s="4">
        <f t="shared" ref="S10:S14" si="8">(S3/100)*E3</f>
        <v>3.2016009851042369</v>
      </c>
      <c r="T10" s="4">
        <f t="shared" si="6"/>
        <v>1.0552067818794539</v>
      </c>
      <c r="U10" s="4">
        <f t="shared" si="6"/>
        <v>1.9009690702531518E-2</v>
      </c>
    </row>
    <row r="11" spans="1:24" x14ac:dyDescent="0.2">
      <c r="A11" t="s">
        <v>38</v>
      </c>
      <c r="D11" s="5">
        <f>AVERAGE(D5:D6)</f>
        <v>72</v>
      </c>
      <c r="E11" s="5">
        <f>AVERAGE(E5:E6)</f>
        <v>11.779932619645532</v>
      </c>
      <c r="F11" s="5">
        <f t="shared" ref="F11:Q11" si="9">AVERAGE(F5:F6)</f>
        <v>18.33486955678875</v>
      </c>
      <c r="G11" s="5">
        <f t="shared" si="9"/>
        <v>0.44372514187612405</v>
      </c>
      <c r="H11" s="5">
        <f t="shared" si="9"/>
        <v>0.18301020597639478</v>
      </c>
      <c r="I11" s="5">
        <f t="shared" si="9"/>
        <v>4.2024950138071651</v>
      </c>
      <c r="J11" s="5">
        <f t="shared" si="9"/>
        <v>3.493536086151209</v>
      </c>
      <c r="K11" s="5">
        <f t="shared" si="9"/>
        <v>33.495151204882099</v>
      </c>
      <c r="L11" s="5">
        <f t="shared" si="9"/>
        <v>30.709286190679563</v>
      </c>
      <c r="M11" s="5">
        <f t="shared" si="9"/>
        <v>3.1540808357901908</v>
      </c>
      <c r="N11" s="5">
        <f t="shared" si="9"/>
        <v>0</v>
      </c>
      <c r="O11" s="5">
        <f t="shared" si="9"/>
        <v>0</v>
      </c>
      <c r="P11" s="5">
        <f t="shared" si="9"/>
        <v>0.42075183449638431</v>
      </c>
      <c r="Q11" s="5">
        <f t="shared" si="9"/>
        <v>5.5630939295521218</v>
      </c>
      <c r="S11" s="4">
        <f t="shared" si="8"/>
        <v>3.3104747786821913</v>
      </c>
      <c r="T11" s="4">
        <f t="shared" si="6"/>
        <v>1.5922044021162778</v>
      </c>
      <c r="U11" s="4">
        <f t="shared" si="6"/>
        <v>3.6222267933034701E-2</v>
      </c>
    </row>
    <row r="12" spans="1:24" x14ac:dyDescent="0.2">
      <c r="A12" t="s">
        <v>107</v>
      </c>
      <c r="D12" s="5">
        <f>D7</f>
        <v>83.396665614891518</v>
      </c>
      <c r="E12" s="5">
        <f>E7</f>
        <v>13.633479803940871</v>
      </c>
      <c r="F12" s="5">
        <f t="shared" ref="F12:Q12" si="10">F7</f>
        <v>18.397924227634803</v>
      </c>
      <c r="G12" s="5">
        <f t="shared" si="10"/>
        <v>0.59216070319224468</v>
      </c>
      <c r="H12" s="5">
        <f t="shared" si="10"/>
        <v>0.1715824890568968</v>
      </c>
      <c r="I12" s="5">
        <f t="shared" si="10"/>
        <v>3.3377641161602809</v>
      </c>
      <c r="J12" s="5">
        <f t="shared" si="10"/>
        <v>5.0593680211318794</v>
      </c>
      <c r="K12" s="5">
        <f t="shared" si="10"/>
        <v>27.843038623749024</v>
      </c>
      <c r="L12" s="5">
        <f t="shared" si="10"/>
        <v>33.817535522694762</v>
      </c>
      <c r="M12" s="5">
        <f t="shared" si="10"/>
        <v>3.2922892570453222</v>
      </c>
      <c r="N12" s="5">
        <f t="shared" si="10"/>
        <v>0</v>
      </c>
      <c r="O12" s="5">
        <f t="shared" si="10"/>
        <v>0</v>
      </c>
      <c r="P12" s="5">
        <f t="shared" si="10"/>
        <v>0.47117817094618375</v>
      </c>
      <c r="Q12" s="5">
        <f t="shared" si="10"/>
        <v>7.0171588683886146</v>
      </c>
      <c r="S12" s="4">
        <f t="shared" si="8"/>
        <v>2.4592656226386094</v>
      </c>
      <c r="T12" s="4">
        <f t="shared" si="6"/>
        <v>1.3622561289086252</v>
      </c>
      <c r="U12" s="4">
        <f t="shared" si="6"/>
        <v>1.2757364795837637E-2</v>
      </c>
    </row>
    <row r="13" spans="1:24" x14ac:dyDescent="0.2">
      <c r="S13" s="4">
        <f t="shared" si="8"/>
        <v>1.8400134275068589</v>
      </c>
      <c r="T13" s="4">
        <f t="shared" si="6"/>
        <v>1.5213758273057749</v>
      </c>
      <c r="U13" s="4">
        <f t="shared" si="6"/>
        <v>1.0404645729856641E-2</v>
      </c>
    </row>
    <row r="14" spans="1:24" x14ac:dyDescent="0.2">
      <c r="S14" s="4">
        <f t="shared" si="8"/>
        <v>2.5082772839189356</v>
      </c>
      <c r="T14" s="4">
        <f t="shared" si="6"/>
        <v>1.4506440680819643</v>
      </c>
      <c r="U14" s="4">
        <f t="shared" si="6"/>
        <v>1.556361106844837E-2</v>
      </c>
    </row>
    <row r="16" spans="1:24" x14ac:dyDescent="0.2">
      <c r="S16" s="4">
        <f>(S9*6)</f>
        <v>26.090594357666319</v>
      </c>
      <c r="T16" s="4">
        <f t="shared" ref="T16:U16" si="11">(T9*6)</f>
        <v>6.8901409463627603</v>
      </c>
      <c r="U16" s="4">
        <f t="shared" si="11"/>
        <v>0.12257238200119316</v>
      </c>
      <c r="V16" s="4">
        <f>SUM(S16:U16)</f>
        <v>33.103307686030277</v>
      </c>
      <c r="W16" s="5"/>
      <c r="X16" s="5"/>
    </row>
    <row r="17" spans="19:24" x14ac:dyDescent="0.2">
      <c r="S17" s="4">
        <f t="shared" ref="S17:U21" si="12">(S10*6)</f>
        <v>19.20960591062542</v>
      </c>
      <c r="T17" s="4">
        <f t="shared" si="12"/>
        <v>6.3312406912767241</v>
      </c>
      <c r="U17" s="4">
        <f t="shared" si="12"/>
        <v>0.11405814421518912</v>
      </c>
      <c r="V17" s="4">
        <f t="shared" ref="V17:V21" si="13">SUM(S17:U17)</f>
        <v>25.654904746117335</v>
      </c>
      <c r="W17" s="5"/>
    </row>
    <row r="18" spans="19:24" x14ac:dyDescent="0.2">
      <c r="S18" s="4">
        <f t="shared" si="12"/>
        <v>19.862848672093147</v>
      </c>
      <c r="T18" s="4">
        <f t="shared" si="12"/>
        <v>9.5532264126976667</v>
      </c>
      <c r="U18" s="4">
        <f t="shared" si="12"/>
        <v>0.21733360759820819</v>
      </c>
      <c r="V18" s="4">
        <f t="shared" si="13"/>
        <v>29.633408692389018</v>
      </c>
      <c r="W18" s="5"/>
      <c r="X18" s="5"/>
    </row>
    <row r="19" spans="19:24" x14ac:dyDescent="0.2">
      <c r="S19" s="4">
        <f t="shared" si="12"/>
        <v>14.755593735831656</v>
      </c>
      <c r="T19" s="4">
        <f t="shared" si="12"/>
        <v>8.173536773451751</v>
      </c>
      <c r="U19" s="4">
        <f t="shared" si="12"/>
        <v>7.654418877502582E-2</v>
      </c>
      <c r="V19" s="4">
        <f t="shared" si="13"/>
        <v>23.005674698058431</v>
      </c>
      <c r="W19" s="5"/>
      <c r="X19" s="5"/>
    </row>
    <row r="20" spans="19:24" x14ac:dyDescent="0.2">
      <c r="S20" s="4">
        <f t="shared" si="12"/>
        <v>11.040080565041153</v>
      </c>
      <c r="T20" s="4">
        <f t="shared" si="12"/>
        <v>9.1282549638346495</v>
      </c>
      <c r="U20" s="4">
        <f t="shared" si="12"/>
        <v>6.2427874379139846E-2</v>
      </c>
      <c r="V20" s="4">
        <f t="shared" si="13"/>
        <v>20.23076340325494</v>
      </c>
      <c r="W20" s="5"/>
    </row>
    <row r="21" spans="19:24" x14ac:dyDescent="0.2">
      <c r="S21" s="4">
        <f t="shared" si="12"/>
        <v>15.049663703513612</v>
      </c>
      <c r="T21" s="4">
        <f t="shared" si="12"/>
        <v>8.7038644084917856</v>
      </c>
      <c r="U21" s="4">
        <f t="shared" si="12"/>
        <v>9.338166641069022E-2</v>
      </c>
      <c r="V21" s="4">
        <f t="shared" si="13"/>
        <v>23.846909778416087</v>
      </c>
      <c r="W21" s="5"/>
      <c r="X21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7B7F-40A5-604C-B622-0B9578566D2D}">
  <dimension ref="A1:Q21"/>
  <sheetViews>
    <sheetView tabSelected="1" zoomScale="75" workbookViewId="0">
      <selection activeCell="F11" sqref="F11"/>
    </sheetView>
  </sheetViews>
  <sheetFormatPr baseColWidth="10" defaultRowHeight="16" x14ac:dyDescent="0.2"/>
  <cols>
    <col min="1" max="1" width="20" customWidth="1"/>
    <col min="2" max="2" width="18.83203125" customWidth="1"/>
    <col min="3" max="3" width="24.6640625" customWidth="1"/>
    <col min="4" max="4" width="18.6640625" customWidth="1"/>
    <col min="5" max="6" width="29.83203125" style="5" customWidth="1"/>
    <col min="7" max="7" width="12.83203125" customWidth="1"/>
    <col min="8" max="8" width="16.5" customWidth="1"/>
    <col min="9" max="9" width="19.5" customWidth="1"/>
    <col min="10" max="10" width="22.33203125" style="5" customWidth="1"/>
    <col min="11" max="11" width="25.5" customWidth="1"/>
    <col min="12" max="12" width="16.1640625" customWidth="1"/>
    <col min="14" max="14" width="22.33203125" customWidth="1"/>
    <col min="17" max="17" width="17.5" customWidth="1"/>
  </cols>
  <sheetData>
    <row r="1" spans="1:17" s="6" customFormat="1" ht="32" customHeight="1" x14ac:dyDescent="0.25">
      <c r="A1" t="s">
        <v>10</v>
      </c>
      <c r="B1" t="s">
        <v>69</v>
      </c>
      <c r="C1" t="s">
        <v>36</v>
      </c>
      <c r="D1" s="4" t="s">
        <v>44</v>
      </c>
      <c r="E1" s="4" t="s">
        <v>77</v>
      </c>
      <c r="F1" s="4" t="s">
        <v>50</v>
      </c>
      <c r="G1" s="4" t="s">
        <v>46</v>
      </c>
      <c r="H1" s="4" t="s">
        <v>70</v>
      </c>
      <c r="I1" s="4" t="s">
        <v>71</v>
      </c>
      <c r="J1" s="4" t="s">
        <v>68</v>
      </c>
      <c r="K1" s="5" t="s">
        <v>89</v>
      </c>
      <c r="L1" s="4" t="s">
        <v>73</v>
      </c>
      <c r="M1" s="4" t="s">
        <v>74</v>
      </c>
      <c r="N1" s="4" t="s">
        <v>80</v>
      </c>
      <c r="O1" s="6" t="s">
        <v>104</v>
      </c>
      <c r="P1" s="6" t="s">
        <v>103</v>
      </c>
      <c r="Q1" s="6" t="s">
        <v>105</v>
      </c>
    </row>
    <row r="2" spans="1:17" x14ac:dyDescent="0.2">
      <c r="A2" t="s">
        <v>11</v>
      </c>
      <c r="B2" t="s">
        <v>15</v>
      </c>
      <c r="C2" t="s">
        <v>37</v>
      </c>
      <c r="D2" s="4">
        <v>7835.7023576375977</v>
      </c>
      <c r="E2" s="4"/>
      <c r="F2" s="4">
        <v>153.44592247326787</v>
      </c>
      <c r="G2" s="4">
        <v>143.51103219116479</v>
      </c>
      <c r="H2" s="4">
        <v>6.1280252628785226</v>
      </c>
      <c r="I2" s="4">
        <v>81.191088260497011</v>
      </c>
      <c r="J2" s="4">
        <v>18.808911739502989</v>
      </c>
      <c r="K2" s="5">
        <v>33.321266869568191</v>
      </c>
      <c r="L2" s="4">
        <v>3.8565983488214535</v>
      </c>
      <c r="M2" s="4">
        <v>1.8</v>
      </c>
      <c r="N2" s="4">
        <v>11.784623611699978</v>
      </c>
      <c r="O2" s="4">
        <v>33.103307686030277</v>
      </c>
      <c r="P2" s="5">
        <f>(O2/D2)*100 /(K2/100)</f>
        <v>1.2678619111552145</v>
      </c>
      <c r="Q2" s="5">
        <f>100-P2</f>
        <v>98.732138088844792</v>
      </c>
    </row>
    <row r="3" spans="1:17" x14ac:dyDescent="0.2">
      <c r="A3" t="s">
        <v>11</v>
      </c>
      <c r="B3" t="s">
        <v>16</v>
      </c>
      <c r="C3" t="s">
        <v>37</v>
      </c>
      <c r="D3" s="4">
        <v>7347.8073025733429</v>
      </c>
      <c r="E3" s="4"/>
      <c r="F3" s="4">
        <v>115.04190815822464</v>
      </c>
      <c r="G3" s="4">
        <v>198.96580835562801</v>
      </c>
      <c r="H3" s="4">
        <v>6.1485428427304694</v>
      </c>
      <c r="I3" s="4">
        <v>66.939890710382514</v>
      </c>
      <c r="J3" s="4">
        <v>33.060109289617486</v>
      </c>
      <c r="K3" s="5">
        <v>27.225455189689708</v>
      </c>
      <c r="L3" s="4">
        <v>3.0572046013254845</v>
      </c>
      <c r="M3" s="4">
        <v>1.9</v>
      </c>
      <c r="N3" s="4">
        <v>11.105747444055954</v>
      </c>
      <c r="O3" s="4">
        <v>25.654904746117335</v>
      </c>
      <c r="P3" s="5">
        <f t="shared" ref="P3:P7" si="0">(O3/D3)*100 /(K3/100)</f>
        <v>1.2824413085989566</v>
      </c>
      <c r="Q3" s="5">
        <f t="shared" ref="Q3:Q7" si="1">100-P3</f>
        <v>98.717558691401038</v>
      </c>
    </row>
    <row r="4" spans="1:17" x14ac:dyDescent="0.2">
      <c r="A4" t="s">
        <v>11</v>
      </c>
      <c r="B4" t="s">
        <v>41</v>
      </c>
      <c r="C4" t="s">
        <v>76</v>
      </c>
      <c r="D4" s="4">
        <v>941</v>
      </c>
      <c r="E4" s="4">
        <v>4.338259168933468</v>
      </c>
      <c r="F4" s="4"/>
      <c r="G4" s="4"/>
      <c r="H4" s="4">
        <v>52.125398512221047</v>
      </c>
      <c r="I4" s="4"/>
      <c r="J4" s="4"/>
      <c r="K4" s="5">
        <v>21.264016309887868</v>
      </c>
      <c r="L4" s="4">
        <v>37.205100956429334</v>
      </c>
      <c r="M4" s="4">
        <v>3.7</v>
      </c>
      <c r="N4" s="4">
        <v>93.030499468650376</v>
      </c>
      <c r="O4" s="4">
        <v>29.633408692389018</v>
      </c>
      <c r="P4" s="5">
        <f t="shared" si="0"/>
        <v>14.809714643972125</v>
      </c>
      <c r="Q4" s="5">
        <f t="shared" si="1"/>
        <v>85.190285356027871</v>
      </c>
    </row>
    <row r="5" spans="1:17" x14ac:dyDescent="0.2">
      <c r="A5" t="s">
        <v>13</v>
      </c>
      <c r="B5" t="s">
        <v>15</v>
      </c>
      <c r="C5" t="s">
        <v>38</v>
      </c>
      <c r="D5" s="4">
        <v>375.17921146953404</v>
      </c>
      <c r="E5" s="4"/>
      <c r="F5" s="4">
        <v>7.7043378686212387</v>
      </c>
      <c r="G5" s="4">
        <v>26.514431905974135</v>
      </c>
      <c r="H5" s="4">
        <v>40.577994554573685</v>
      </c>
      <c r="I5" s="4">
        <v>108.64864864864863</v>
      </c>
      <c r="J5" s="4">
        <v>-8.6486486486486314</v>
      </c>
      <c r="K5" s="5">
        <v>55.175965349493751</v>
      </c>
      <c r="L5" s="4">
        <v>11.929008019568634</v>
      </c>
      <c r="M5" s="4">
        <v>2.7</v>
      </c>
      <c r="N5" s="4">
        <v>55.207002574142322</v>
      </c>
      <c r="O5" s="4">
        <v>23.005674698058431</v>
      </c>
      <c r="P5" s="5">
        <f t="shared" si="0"/>
        <v>11.113382650263199</v>
      </c>
      <c r="Q5" s="5">
        <f t="shared" si="1"/>
        <v>88.886617349736795</v>
      </c>
    </row>
    <row r="6" spans="1:17" x14ac:dyDescent="0.2">
      <c r="A6" t="s">
        <v>13</v>
      </c>
      <c r="B6" t="s">
        <v>16</v>
      </c>
      <c r="C6" t="s">
        <v>38</v>
      </c>
      <c r="D6" s="4">
        <v>334.80286738351259</v>
      </c>
      <c r="E6" s="4"/>
      <c r="F6" s="4">
        <v>6.0521853923762849</v>
      </c>
      <c r="G6" s="4">
        <v>23.478461948352916</v>
      </c>
      <c r="H6" s="4">
        <v>36.131482667808577</v>
      </c>
      <c r="I6" s="4">
        <v>94.217687074829925</v>
      </c>
      <c r="J6" s="4">
        <v>5.7823129251700749</v>
      </c>
      <c r="K6" s="5">
        <v>49.59938576120674</v>
      </c>
      <c r="L6" s="4">
        <v>12.080720629698172</v>
      </c>
      <c r="M6" s="4">
        <v>2.7</v>
      </c>
      <c r="N6" s="4">
        <v>50.91220329750675</v>
      </c>
      <c r="O6" s="4">
        <v>20.23076340325494</v>
      </c>
      <c r="P6" s="5">
        <f t="shared" si="0"/>
        <v>12.182791287687365</v>
      </c>
      <c r="Q6" s="5">
        <f t="shared" si="1"/>
        <v>87.817208712312635</v>
      </c>
    </row>
    <row r="7" spans="1:17" x14ac:dyDescent="0.2">
      <c r="A7" t="s">
        <v>13</v>
      </c>
      <c r="B7" t="s">
        <v>41</v>
      </c>
      <c r="C7" t="s">
        <v>38</v>
      </c>
      <c r="D7" s="4">
        <v>297</v>
      </c>
      <c r="E7" s="4">
        <v>29.282429260166086</v>
      </c>
      <c r="F7" s="4"/>
      <c r="G7" s="4"/>
      <c r="H7" s="4">
        <v>61.952861952861952</v>
      </c>
      <c r="I7" s="4"/>
      <c r="J7" s="4"/>
      <c r="K7" s="5">
        <v>44.510869565217391</v>
      </c>
      <c r="L7" s="4">
        <v>27.407407407407408</v>
      </c>
      <c r="M7" s="4">
        <v>5.6</v>
      </c>
      <c r="N7" s="4">
        <v>94.960269360269351</v>
      </c>
      <c r="O7" s="4">
        <v>23.846909778416087</v>
      </c>
      <c r="P7" s="5">
        <f t="shared" si="0"/>
        <v>18.038880457931207</v>
      </c>
      <c r="Q7" s="5">
        <f t="shared" si="1"/>
        <v>81.961119542068786</v>
      </c>
    </row>
    <row r="9" spans="1:17" s="8" customFormat="1" ht="32" customHeight="1" x14ac:dyDescent="0.4">
      <c r="A9" s="13" t="s">
        <v>48</v>
      </c>
      <c r="B9" s="13" t="s">
        <v>39</v>
      </c>
      <c r="C9" s="13" t="s">
        <v>49</v>
      </c>
      <c r="D9" s="14" t="s">
        <v>45</v>
      </c>
      <c r="E9" s="13" t="s">
        <v>42</v>
      </c>
      <c r="F9" s="13" t="s">
        <v>75</v>
      </c>
      <c r="G9" s="13" t="s">
        <v>47</v>
      </c>
      <c r="H9" s="14" t="s">
        <v>81</v>
      </c>
      <c r="I9" s="13" t="s">
        <v>87</v>
      </c>
      <c r="J9" s="13" t="s">
        <v>88</v>
      </c>
    </row>
    <row r="10" spans="1:17" ht="30" x14ac:dyDescent="0.3">
      <c r="A10" s="9" t="s">
        <v>37</v>
      </c>
      <c r="B10" s="9" t="s">
        <v>40</v>
      </c>
      <c r="C10" s="11">
        <f>AVERAGE(F2:F3)</f>
        <v>134.24391531574625</v>
      </c>
      <c r="D10" s="7">
        <f>AVERAGE(G2:G3)</f>
        <v>171.2384202733964</v>
      </c>
      <c r="E10" s="10">
        <v>3.5</v>
      </c>
      <c r="F10" s="10">
        <v>6.1</v>
      </c>
      <c r="G10" s="11">
        <v>1.8</v>
      </c>
      <c r="H10" s="7">
        <f>SUM(Table1[[#This Row],[% HMW-TPC ]:[% TDAA]])</f>
        <v>11.4</v>
      </c>
      <c r="I10" s="4">
        <f t="shared" ref="I10:I13" si="2">AVERAGE(I2:I3)</f>
        <v>74.06548948543977</v>
      </c>
      <c r="J10" s="18">
        <f t="shared" ref="J10:J12" si="3">AVERAGE(J2:J3)</f>
        <v>25.934510514560237</v>
      </c>
    </row>
    <row r="11" spans="1:17" ht="25" x14ac:dyDescent="0.25">
      <c r="A11" s="9" t="s">
        <v>37</v>
      </c>
      <c r="B11" s="9" t="s">
        <v>41</v>
      </c>
      <c r="C11" s="10"/>
      <c r="D11" s="7"/>
      <c r="E11" s="10">
        <v>37.200000000000003</v>
      </c>
      <c r="F11" s="11">
        <f>H4</f>
        <v>52.125398512221047</v>
      </c>
      <c r="G11" s="12">
        <v>3.7</v>
      </c>
      <c r="H11" s="7">
        <f>SUM(Table1[[#This Row],[% HMW-TPC ]:[% TDAA]])</f>
        <v>93.025398512221059</v>
      </c>
      <c r="I11" s="4">
        <f t="shared" si="2"/>
        <v>66.939890710382514</v>
      </c>
      <c r="J11" s="4"/>
    </row>
    <row r="12" spans="1:17" ht="25" x14ac:dyDescent="0.25">
      <c r="A12" s="9" t="s">
        <v>38</v>
      </c>
      <c r="B12" s="9" t="s">
        <v>40</v>
      </c>
      <c r="C12" s="11">
        <f>AVERAGE(F5:F6)</f>
        <v>6.8782616304987618</v>
      </c>
      <c r="D12" s="7">
        <f>AVERAGE(G5:G6)</f>
        <v>24.996446927163525</v>
      </c>
      <c r="E12" s="10">
        <v>12.1</v>
      </c>
      <c r="F12" s="11">
        <f>AVERAGE(H5:H6)</f>
        <v>38.354738611191131</v>
      </c>
      <c r="G12" s="12">
        <v>2.7</v>
      </c>
      <c r="H12" s="7">
        <f>SUM(Table1[[#This Row],[% HMW-TPC ]:[% TDAA]])</f>
        <v>53.154738611191135</v>
      </c>
      <c r="I12" s="4">
        <f t="shared" si="2"/>
        <v>108.64864864864863</v>
      </c>
      <c r="J12" s="4">
        <f t="shared" si="3"/>
        <v>-8.6486486486486314</v>
      </c>
    </row>
    <row r="13" spans="1:17" ht="25" x14ac:dyDescent="0.25">
      <c r="A13" s="9" t="s">
        <v>38</v>
      </c>
      <c r="B13" s="9" t="s">
        <v>41</v>
      </c>
      <c r="C13" s="10"/>
      <c r="D13" s="7"/>
      <c r="E13" s="10">
        <v>27.6</v>
      </c>
      <c r="F13" s="11">
        <f>H7</f>
        <v>61.952861952861952</v>
      </c>
      <c r="G13" s="12">
        <v>5.6</v>
      </c>
      <c r="H13" s="7">
        <f>SUM(Table1[[#This Row],[% HMW-TPC ]:[% TDAA]])</f>
        <v>95.15286195286194</v>
      </c>
      <c r="I13" s="4">
        <f t="shared" si="2"/>
        <v>101.43316786173928</v>
      </c>
      <c r="J13" s="4"/>
    </row>
    <row r="15" spans="1:17" x14ac:dyDescent="0.2">
      <c r="E15"/>
      <c r="F15"/>
    </row>
    <row r="16" spans="1:17" x14ac:dyDescent="0.2">
      <c r="E16"/>
      <c r="F16"/>
    </row>
    <row r="17" spans="1:11" x14ac:dyDescent="0.2">
      <c r="A17" t="s">
        <v>48</v>
      </c>
      <c r="B17" t="s">
        <v>39</v>
      </c>
      <c r="C17" t="s">
        <v>82</v>
      </c>
      <c r="D17" t="s">
        <v>45</v>
      </c>
      <c r="E17" s="5" t="s">
        <v>42</v>
      </c>
      <c r="F17" s="5" t="s">
        <v>75</v>
      </c>
      <c r="G17" t="s">
        <v>47</v>
      </c>
      <c r="H17" t="s">
        <v>81</v>
      </c>
    </row>
    <row r="18" spans="1:11" x14ac:dyDescent="0.2">
      <c r="A18" t="s">
        <v>37</v>
      </c>
      <c r="B18" t="s">
        <v>40</v>
      </c>
      <c r="C18">
        <v>134.24391531574625</v>
      </c>
      <c r="D18">
        <v>171.2384202733964</v>
      </c>
      <c r="E18" s="5">
        <v>3.5</v>
      </c>
      <c r="F18" s="5">
        <v>6.1</v>
      </c>
      <c r="G18">
        <v>1.8</v>
      </c>
      <c r="H18">
        <v>11.4</v>
      </c>
      <c r="I18" s="4">
        <f>AVERAGE(I2:I3)</f>
        <v>74.06548948543977</v>
      </c>
      <c r="J18" s="5">
        <f>AVERAGE(J2:J3)</f>
        <v>25.934510514560237</v>
      </c>
      <c r="K18" s="5">
        <f>AVERAGE(K2:K3)</f>
        <v>30.273361029628951</v>
      </c>
    </row>
    <row r="19" spans="1:11" x14ac:dyDescent="0.2">
      <c r="A19" t="s">
        <v>37</v>
      </c>
      <c r="B19" t="s">
        <v>41</v>
      </c>
      <c r="C19">
        <f>STDEV(F2:F3)</f>
        <v>27.155738946952436</v>
      </c>
      <c r="E19" s="5">
        <v>37.200000000000003</v>
      </c>
      <c r="F19" s="5">
        <v>52.125398512221047</v>
      </c>
      <c r="G19">
        <v>3.7</v>
      </c>
      <c r="H19">
        <v>93.025398512221059</v>
      </c>
    </row>
    <row r="20" spans="1:11" x14ac:dyDescent="0.2">
      <c r="A20" t="s">
        <v>38</v>
      </c>
      <c r="B20" t="s">
        <v>40</v>
      </c>
      <c r="C20">
        <v>6.8782616304987618</v>
      </c>
      <c r="D20">
        <v>24.996446927163525</v>
      </c>
      <c r="E20" s="5">
        <v>12.1</v>
      </c>
      <c r="F20" s="5">
        <v>38.354738611191131</v>
      </c>
      <c r="G20">
        <v>2.7</v>
      </c>
      <c r="H20">
        <v>53.154738611191135</v>
      </c>
      <c r="I20" s="4">
        <f>AVERAGE(I5:I6)</f>
        <v>101.43316786173928</v>
      </c>
      <c r="J20" s="5">
        <f>AVERAGE(J5:J6)</f>
        <v>-1.4331678617392782</v>
      </c>
      <c r="K20" s="5">
        <f>AVERAGE(K5:K6)</f>
        <v>52.387675555350242</v>
      </c>
    </row>
    <row r="21" spans="1:11" x14ac:dyDescent="0.2">
      <c r="A21" t="s">
        <v>38</v>
      </c>
      <c r="B21" t="s">
        <v>41</v>
      </c>
      <c r="C21">
        <f>STDEV(F5:F6)</f>
        <v>1.1682482195069543</v>
      </c>
      <c r="E21" s="5">
        <v>27.6</v>
      </c>
      <c r="F21" s="5">
        <v>61.952861952861952</v>
      </c>
      <c r="G21">
        <v>5.6</v>
      </c>
      <c r="H21">
        <v>95.15286195286194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AC917-6C8C-E040-B24D-0DC72182A0FC}">
  <dimension ref="A1:J5"/>
  <sheetViews>
    <sheetView workbookViewId="0">
      <selection activeCell="J2" sqref="J2"/>
    </sheetView>
  </sheetViews>
  <sheetFormatPr baseColWidth="10" defaultRowHeight="16" x14ac:dyDescent="0.2"/>
  <cols>
    <col min="8" max="8" width="16.6640625" style="4" customWidth="1"/>
  </cols>
  <sheetData>
    <row r="1" spans="1:10" x14ac:dyDescent="0.2">
      <c r="A1" t="s">
        <v>48</v>
      </c>
      <c r="B1" t="s">
        <v>39</v>
      </c>
      <c r="C1" t="s">
        <v>82</v>
      </c>
      <c r="D1" t="s">
        <v>45</v>
      </c>
      <c r="E1" t="s">
        <v>92</v>
      </c>
      <c r="F1" t="s">
        <v>91</v>
      </c>
      <c r="G1" t="s">
        <v>90</v>
      </c>
      <c r="H1" s="4" t="s">
        <v>93</v>
      </c>
      <c r="I1" t="s">
        <v>81</v>
      </c>
      <c r="J1" t="s">
        <v>101</v>
      </c>
    </row>
    <row r="2" spans="1:10" x14ac:dyDescent="0.2">
      <c r="A2" t="s">
        <v>37</v>
      </c>
      <c r="B2" t="s">
        <v>40</v>
      </c>
      <c r="C2">
        <v>134.24391531574625</v>
      </c>
      <c r="D2">
        <v>171.2384202733964</v>
      </c>
      <c r="E2">
        <v>3.5</v>
      </c>
      <c r="F2">
        <v>6.1</v>
      </c>
      <c r="G2">
        <v>1.8</v>
      </c>
      <c r="H2" s="4">
        <f>100-E2-F2-G2</f>
        <v>88.600000000000009</v>
      </c>
      <c r="I2">
        <v>11.4</v>
      </c>
    </row>
    <row r="3" spans="1:10" x14ac:dyDescent="0.2">
      <c r="A3" t="s">
        <v>37</v>
      </c>
      <c r="B3" t="s">
        <v>41</v>
      </c>
      <c r="E3">
        <v>37.200000000000003</v>
      </c>
      <c r="F3">
        <v>52.125398512221047</v>
      </c>
      <c r="G3">
        <v>3.7</v>
      </c>
      <c r="H3" s="4">
        <f t="shared" ref="H3:H5" si="0">100-E3-F3-G3</f>
        <v>6.9746014877789504</v>
      </c>
      <c r="I3">
        <v>93.025398512221059</v>
      </c>
    </row>
    <row r="4" spans="1:10" x14ac:dyDescent="0.2">
      <c r="A4" t="s">
        <v>38</v>
      </c>
      <c r="B4" t="s">
        <v>40</v>
      </c>
      <c r="C4">
        <v>6.8782616304987618</v>
      </c>
      <c r="D4">
        <v>24.996446927163525</v>
      </c>
      <c r="E4">
        <v>12.1</v>
      </c>
      <c r="F4">
        <v>38.354738611191131</v>
      </c>
      <c r="G4">
        <v>2.7</v>
      </c>
      <c r="H4" s="4">
        <f t="shared" si="0"/>
        <v>46.845261388808872</v>
      </c>
      <c r="I4">
        <v>53.154738611191135</v>
      </c>
    </row>
    <row r="5" spans="1:10" x14ac:dyDescent="0.2">
      <c r="A5" t="s">
        <v>38</v>
      </c>
      <c r="B5" t="s">
        <v>41</v>
      </c>
      <c r="E5">
        <v>27.6</v>
      </c>
      <c r="F5">
        <v>61.952861952861952</v>
      </c>
      <c r="G5">
        <v>5.6</v>
      </c>
      <c r="H5" s="4">
        <f t="shared" si="0"/>
        <v>4.8471380471380545</v>
      </c>
      <c r="I5">
        <v>95.15286195286194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1204-76AA-5148-9279-670FDA8E7CF6}">
  <dimension ref="A1:F3"/>
  <sheetViews>
    <sheetView workbookViewId="0">
      <selection activeCell="F3" sqref="F3"/>
    </sheetView>
  </sheetViews>
  <sheetFormatPr baseColWidth="10" defaultRowHeight="16" x14ac:dyDescent="0.2"/>
  <cols>
    <col min="3" max="3" width="10.83203125" style="4"/>
    <col min="4" max="5" width="15.5" style="4" customWidth="1"/>
    <col min="6" max="6" width="15.33203125" style="4" customWidth="1"/>
  </cols>
  <sheetData>
    <row r="1" spans="1:6" x14ac:dyDescent="0.2">
      <c r="A1" t="s">
        <v>48</v>
      </c>
      <c r="B1" t="s">
        <v>39</v>
      </c>
      <c r="C1" s="4" t="s">
        <v>83</v>
      </c>
      <c r="D1" s="4" t="s">
        <v>84</v>
      </c>
      <c r="E1" s="4" t="s">
        <v>85</v>
      </c>
      <c r="F1" s="4" t="s">
        <v>86</v>
      </c>
    </row>
    <row r="2" spans="1:6" x14ac:dyDescent="0.2">
      <c r="A2" t="s">
        <v>37</v>
      </c>
      <c r="B2" t="s">
        <v>40</v>
      </c>
      <c r="C2" s="4">
        <v>6.1</v>
      </c>
      <c r="D2" s="4">
        <v>74.06548948543977</v>
      </c>
      <c r="E2" s="4">
        <v>25.934510514560237</v>
      </c>
      <c r="F2" s="4">
        <v>30</v>
      </c>
    </row>
    <row r="3" spans="1:6" x14ac:dyDescent="0.2">
      <c r="A3" t="s">
        <v>38</v>
      </c>
      <c r="B3" t="s">
        <v>40</v>
      </c>
      <c r="C3" s="4">
        <v>38.354738611191131</v>
      </c>
      <c r="D3" s="4">
        <v>101.43316786173928</v>
      </c>
      <c r="E3" s="4">
        <v>-1.4331678617392782</v>
      </c>
      <c r="F3" s="4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mol_percent_sugars</vt:lpstr>
      <vt:lpstr>Summary</vt:lpstr>
      <vt:lpstr>Summary_Bulk_DOC</vt:lpstr>
      <vt:lpstr>Summary_TCHO_Sugars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 English</dc:creator>
  <cp:lastModifiedBy>Chance English</cp:lastModifiedBy>
  <dcterms:created xsi:type="dcterms:W3CDTF">2021-07-27T17:39:38Z</dcterms:created>
  <dcterms:modified xsi:type="dcterms:W3CDTF">2024-03-22T02:51:46Z</dcterms:modified>
</cp:coreProperties>
</file>